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480" windowHeight="8880" activeTab="5"/>
  </bookViews>
  <sheets>
    <sheet name="дод.1" sheetId="1" r:id="rId1"/>
    <sheet name="Дод.2" sheetId="2" r:id="rId2"/>
    <sheet name="дод.3" sheetId="3" r:id="rId3"/>
    <sheet name="дод.4 " sheetId="4" r:id="rId4"/>
    <sheet name="дод.5" sheetId="5" r:id="rId5"/>
    <sheet name="дод.6" sheetId="6" r:id="rId6"/>
  </sheets>
  <definedNames>
    <definedName name="__DdeLink__3909_167458546" localSheetId="4">'дод.5'!$F$40</definedName>
    <definedName name="_xlfn.AGGREGATE" hidden="1">#NAME?</definedName>
    <definedName name="_xlnm.Print_Titles" localSheetId="0">'дод.1'!$6:$8</definedName>
    <definedName name="_xlnm.Print_Titles" localSheetId="2">'дод.3'!$7:$11</definedName>
    <definedName name="_xlnm.Print_Titles" localSheetId="3">'дод.4 '!$D:$E</definedName>
    <definedName name="_xlnm.Print_Titles" localSheetId="4">'дод.5'!$6:$10</definedName>
    <definedName name="_xlnm.Print_Area" localSheetId="0">'дод.1'!$A$1:$F$112</definedName>
    <definedName name="_xlnm.Print_Area" localSheetId="1">'Дод.2'!$A$1:$F$34</definedName>
    <definedName name="_xlnm.Print_Area" localSheetId="2">'дод.3'!$B$1:$R$130</definedName>
    <definedName name="_xlnm.Print_Area" localSheetId="3">'дод.4 '!$A$1:$AN$19</definedName>
    <definedName name="_xlnm.Print_Area" localSheetId="4">'дод.5'!$A$1:$K$53</definedName>
  </definedNames>
  <calcPr fullCalcOnLoad="1"/>
</workbook>
</file>

<file path=xl/sharedStrings.xml><?xml version="1.0" encoding="utf-8"?>
<sst xmlns="http://schemas.openxmlformats.org/spreadsheetml/2006/main" count="786" uniqueCount="491">
  <si>
    <t>Код</t>
  </si>
  <si>
    <t>Податкові надходження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</si>
  <si>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</si>
  <si>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</si>
  <si>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</si>
  <si>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</si>
  <si>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</si>
  <si>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</si>
  <si>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комунальні послуги та енергоносії</t>
  </si>
  <si>
    <t>Власні надходження бюджетних установ</t>
  </si>
  <si>
    <t>Від органів державного управління</t>
  </si>
  <si>
    <t>Податки на доходи, податки на прибуток, податки на збільшення ринковою вартості</t>
  </si>
  <si>
    <t>Податок та збір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</si>
  <si>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</si>
  <si>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</si>
  <si>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</si>
  <si>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</si>
  <si>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Разом доходів</t>
  </si>
  <si>
    <t xml:space="preserve">Офіційні трансферти </t>
  </si>
  <si>
    <t>в тому числі:</t>
  </si>
  <si>
    <t>Освітня субвенція з державного бюджету місцевим бюджетам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</si>
  <si>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</si>
  <si>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</si>
  <si>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Компенсаційні виплати за пільговий проїзд окремих категорій громадян на залізничному транспорті</t>
  </si>
  <si>
    <t>010116</t>
  </si>
  <si>
    <t>250404</t>
  </si>
  <si>
    <t>070101</t>
  </si>
  <si>
    <t>070401</t>
  </si>
  <si>
    <t>070802</t>
  </si>
  <si>
    <t>070804</t>
  </si>
  <si>
    <t>080800</t>
  </si>
  <si>
    <t>090203</t>
  </si>
  <si>
    <t>090214</t>
  </si>
  <si>
    <t>091205</t>
  </si>
  <si>
    <t>170302</t>
  </si>
  <si>
    <t>Надання пільг окремим категоріям громадян з оплати послуг зв'язку</t>
  </si>
  <si>
    <t>тис. грн.</t>
  </si>
  <si>
    <t xml:space="preserve">Код 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</si>
  <si>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</si>
  <si>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</si>
  <si>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</si>
  <si>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</si>
  <si>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</si>
  <si>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</si>
  <si>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</si>
  <si>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</si>
  <si>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</si>
  <si>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</si>
  <si>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208400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</si>
  <si>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</si>
  <si>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</si>
  <si>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</si>
  <si>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</si>
  <si>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</si>
  <si>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</si>
  <si>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</si>
  <si>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</si>
  <si>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</si>
  <si>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602400</t>
  </si>
  <si>
    <t>Всього за типом боргового зобов’язання</t>
  </si>
  <si>
    <t>тис.грн.</t>
  </si>
  <si>
    <t>Плата за надання адміністративних послуг</t>
  </si>
  <si>
    <t>0111</t>
  </si>
  <si>
    <t>1030</t>
  </si>
  <si>
    <t>1040</t>
  </si>
  <si>
    <t>0810</t>
  </si>
  <si>
    <t>0133</t>
  </si>
  <si>
    <t>0180</t>
  </si>
  <si>
    <t>0910</t>
  </si>
  <si>
    <t>0921</t>
  </si>
  <si>
    <t>0960</t>
  </si>
  <si>
    <t>0990</t>
  </si>
  <si>
    <t>0731</t>
  </si>
  <si>
    <t>1070</t>
  </si>
  <si>
    <t>1010</t>
  </si>
  <si>
    <t>0828</t>
  </si>
  <si>
    <t>0824</t>
  </si>
  <si>
    <t>02</t>
  </si>
  <si>
    <t>Надання дошкільної освіти</t>
  </si>
  <si>
    <t>Забезпечення діяльності бiблiотек</t>
  </si>
  <si>
    <t>Забезпечення діяльності музеїв i виставок</t>
  </si>
  <si>
    <t xml:space="preserve"> Забезпечення діяльності палаців i будинків культури, клубів,центрів дозвілля та iнших  клубних закладів </t>
  </si>
  <si>
    <t>0829</t>
  </si>
  <si>
    <t>Надання інших пільг окремим категоріям громадян відповідно до законодавства</t>
  </si>
  <si>
    <t xml:space="preserve">Інша діяльність у сфері державного управління </t>
  </si>
  <si>
    <t>Дотації з державного бюджету місцевим бюджетам</t>
  </si>
  <si>
    <t>Субвенції з місцевих бюджетів іншим місцевим бюджетам</t>
  </si>
  <si>
    <t>Субвенції  з державного бюджету місцевим бюджетам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</si>
  <si>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</si>
  <si>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</si>
  <si>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субвенції з місцевого бюджету </t>
  </si>
  <si>
    <t xml:space="preserve">Первинна медична допомога населенню, що надається центрами первинної медичної (медико-санітарної) допомоги </t>
  </si>
  <si>
    <t>Забезпечення діяльності інших закладів у сфері освіти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</si>
  <si>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</si>
  <si>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інвалідністю,хворим,які не здатні до самообслуговування і потребують сторонньої допомоги</t>
  </si>
  <si>
    <t>Інші  заходи в галузі культури і мистецтва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</si>
  <si>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</si>
  <si>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</si>
  <si>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Субвенція з місцевого бюджету на здійснення переданих видатків у сфері освіти за рахунок коштів освітньої субвенції</t>
  </si>
  <si>
    <t>оплата праці з нарахуванням</t>
  </si>
  <si>
    <t>№ з/п</t>
  </si>
  <si>
    <t>Найменування заходу</t>
  </si>
  <si>
    <t>День Соборності України</t>
  </si>
  <si>
    <t>Міжнародний жіночий день</t>
  </si>
  <si>
    <t>Усього</t>
  </si>
  <si>
    <t>усього</t>
  </si>
  <si>
    <t>Код Функціональної класифікації видатків та кредитування бюджету</t>
  </si>
  <si>
    <t>у тому числі бюджет розвитку</t>
  </si>
  <si>
    <t>Найменування згідно з Класифікацією фінансування бюджету</t>
  </si>
  <si>
    <t>Усього доходів(без врахування міжбюджетних трансфертів)</t>
  </si>
  <si>
    <t>у  тому числі бюджет розвитку</t>
  </si>
  <si>
    <t>Інші програми  та заходи у сфері освіти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</si>
  <si>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</si>
  <si>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0726</t>
  </si>
  <si>
    <t>Забезпечення діяльності іншіх закладів у сфері соціального захисту і соціального забезпечення</t>
  </si>
  <si>
    <t>Рентна плата за спеціальне використання лісових ресурсів 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</si>
  <si>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</si>
  <si>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</si>
  <si>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місцевого бюджету</t>
  </si>
  <si>
    <t>Найменування згідно
 з класифікацією доходів бюджету</t>
  </si>
  <si>
    <t xml:space="preserve"> (код бюджету)</t>
  </si>
  <si>
    <t xml:space="preserve">Надання спеціальної освіти мистецькими  школами </t>
  </si>
  <si>
    <t>Надання позашкільної освіти закладами позашкільної освіти, заходи із позашкільної роботи з дітьми</t>
  </si>
  <si>
    <t>УСЬОГО</t>
  </si>
  <si>
    <t>Забезпечення діяльності інклюзівно-ресурсних центрів за рахунок коштів місцевого бюджету</t>
  </si>
  <si>
    <t>Забезпечення діяльності інклюзівно-ресурсних центрів за рахунок освітньої субвенції</t>
  </si>
  <si>
    <t>Надання загальної середньої освіти закладами загальної середньої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</si>
  <si>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</si>
  <si>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</si>
  <si>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</si>
  <si>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</si>
  <si>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</si>
  <si>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</si>
  <si>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</si>
  <si>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</si>
  <si>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</si>
  <si>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</si>
  <si>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</si>
  <si>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</si>
  <si>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</si>
  <si>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</si>
  <si>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</si>
  <si>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</si>
  <si>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</si>
  <si>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</si>
  <si>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</si>
  <si>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</si>
  <si>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</si>
  <si>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</si>
  <si>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</si>
  <si>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</si>
  <si>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</si>
  <si>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</si>
  <si>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</si>
  <si>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</si>
  <si>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</si>
  <si>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</si>
  <si>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</si>
  <si>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</si>
  <si>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</si>
  <si>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</si>
  <si>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</si>
  <si>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</si>
  <si>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</si>
  <si>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0160</t>
  </si>
  <si>
    <t>Інші заходи та закдади молодіжної політики</t>
  </si>
  <si>
    <t>Підтримка спорту вищих досягнень та організацій, які здійснюють фізкультурно-спортвну діяльність в регіоні</t>
  </si>
  <si>
    <t>0620</t>
  </si>
  <si>
    <t>Організація благоустрію населених пунктів</t>
  </si>
  <si>
    <t>0763</t>
  </si>
  <si>
    <t>Інші дотації з місцевого бюджету</t>
  </si>
  <si>
    <t>Міжбюджетні трансферти  на 2021 рік</t>
  </si>
  <si>
    <t>O2</t>
  </si>
  <si>
    <t>-</t>
  </si>
  <si>
    <t>Код бюджету</t>
  </si>
  <si>
    <t xml:space="preserve">Найменування бюджету - одержувача/надавача міжбюджетного трансферту </t>
  </si>
  <si>
    <t>О4</t>
  </si>
  <si>
    <t>Дотація з місцевого бюджету на здійснення переданих з державного бюджету видатків з утримання закладві освіти та охорони здоров᾽я за рахунок відповідної додаткової дотації з державного бюджету</t>
  </si>
  <si>
    <t xml:space="preserve">Інша дотація на утримання закладів соціально-культурної сфери </t>
  </si>
  <si>
    <t>Субвенція з місцевого бюджету на здійснення переданих видатків у сфері освіти за рахунок коштів освітньої субвенції (оплата праці педагогічних працівників)</t>
  </si>
  <si>
    <t>О6</t>
  </si>
  <si>
    <t>12517000000</t>
  </si>
  <si>
    <t>Всього</t>
  </si>
  <si>
    <t>Забезпечення діяльності центрів професійного розвитку педагогічних працівників</t>
  </si>
  <si>
    <t>0150</t>
  </si>
  <si>
    <t>0210150</t>
  </si>
  <si>
    <t>0210180</t>
  </si>
  <si>
    <t>0211010</t>
  </si>
  <si>
    <t>0211021</t>
  </si>
  <si>
    <t>0211031</t>
  </si>
  <si>
    <t>0211070</t>
  </si>
  <si>
    <t>0211080</t>
  </si>
  <si>
    <t>0211141</t>
  </si>
  <si>
    <t>0211142</t>
  </si>
  <si>
    <t>0211151</t>
  </si>
  <si>
    <t>0211152</t>
  </si>
  <si>
    <t>0211200</t>
  </si>
  <si>
    <t>0211160</t>
  </si>
  <si>
    <t>0212111</t>
  </si>
  <si>
    <t>0213031</t>
  </si>
  <si>
    <t>0212110</t>
  </si>
  <si>
    <t>0213032</t>
  </si>
  <si>
    <t>0213035</t>
  </si>
  <si>
    <t>0213105</t>
  </si>
  <si>
    <t>0213133</t>
  </si>
  <si>
    <t>0214030</t>
  </si>
  <si>
    <t>0214040</t>
  </si>
  <si>
    <t>0214060</t>
  </si>
  <si>
    <t>0214082</t>
  </si>
  <si>
    <t>0215031</t>
  </si>
  <si>
    <t>0215062</t>
  </si>
  <si>
    <t>0216013</t>
  </si>
  <si>
    <t>Забезпечення діяльності водопровідно-каналізаційного господарства</t>
  </si>
  <si>
    <t>0216030</t>
  </si>
  <si>
    <t>0218330</t>
  </si>
  <si>
    <t>0540</t>
  </si>
  <si>
    <t>Інша діяльність у сфері екології та охорони природних ресурсів</t>
  </si>
  <si>
    <t>Керівництво і управління у відповідній сфері у містах (місті Києві), селищах, селах, об’єднаних територіальних громадах</t>
  </si>
  <si>
    <t>3710160</t>
  </si>
  <si>
    <t>Попаснянська міська військово-цивільна адміністрація</t>
  </si>
  <si>
    <t>Управління фінансів Попаснянської міської військово-цивільної адміністрації</t>
  </si>
  <si>
    <t>3717693</t>
  </si>
  <si>
    <t>7693</t>
  </si>
  <si>
    <t>0490</t>
  </si>
  <si>
    <t>Інші заходи, пов`язані з економічною діяльністю</t>
  </si>
  <si>
    <t>3718710</t>
  </si>
  <si>
    <t>8710</t>
  </si>
  <si>
    <t>3719770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</si>
  <si>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</si>
  <si>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</si>
  <si>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</si>
  <si>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</si>
  <si>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Х</t>
  </si>
  <si>
    <t>Розподіл видатків бюджету Попаснянської міської територіальної громади на 2021 рік</t>
  </si>
  <si>
    <t>Доходи Попаснянської міської територіальної громади на 2021 рік</t>
  </si>
  <si>
    <t xml:space="preserve"> Фінансування Попаснянської міської територіальної громади на 2021 рік</t>
  </si>
  <si>
    <t>Перелік  заходів Попаснянської міської територіальної громади на 2021 рік</t>
  </si>
  <si>
    <t>0217321</t>
  </si>
  <si>
    <t>0443</t>
  </si>
  <si>
    <t>Будівництво освітніх установ та закладів</t>
  </si>
  <si>
    <t>0212144</t>
  </si>
  <si>
    <t>2144</t>
  </si>
  <si>
    <t>Централізовані заходи з лікування хворих на цукровий та нецукровий діабет</t>
  </si>
  <si>
    <t>1031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</si>
  <si>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</si>
  <si>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</si>
  <si>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0213160</t>
  </si>
  <si>
    <t>Виконавчий комітет Попаснянської міської ради</t>
  </si>
  <si>
    <t>208100</t>
  </si>
  <si>
    <t>602100</t>
  </si>
  <si>
    <t>На початок року</t>
  </si>
  <si>
    <t>3</t>
  </si>
  <si>
    <t>1</t>
  </si>
  <si>
    <t>Загальна вартість будівництва, тис.грн.</t>
  </si>
  <si>
    <t>Загальна тривалість будівницт-ва (рік початку і рік завершен-ня)</t>
  </si>
  <si>
    <t>Найменування об’єкта будівництва/вид будівельних робіт, у тому числі проєктні роботи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</si>
  <si>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</si>
  <si>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бюдже-тів</t>
  </si>
  <si>
    <t>Код програмної класифікації видатків та кредитування місцевих бюджетів</t>
  </si>
  <si>
    <t>2021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</si>
  <si>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</si>
  <si>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Розподіл коштів бюджету розвитку на здійснення заходів на будівництво,
реконструкцію і реставрацію, капітальний ремонт об'єктів виробничої, комунікаційної та соціальної інфраструктури за об'єктами у 2021 році</t>
  </si>
  <si>
    <t>Резервний фонд місцевого бюджету</t>
  </si>
  <si>
    <t>Державний бюджет України</t>
  </si>
  <si>
    <t>Обласний бюджет Луганської області</t>
  </si>
  <si>
    <t>Бюджет Гірської міської територіальної громади</t>
  </si>
  <si>
    <t>Трансферти з інших бюджетів</t>
  </si>
  <si>
    <t>субвенції загального фонду</t>
  </si>
  <si>
    <t>субвенції спеціального фонду</t>
  </si>
  <si>
    <t>Субвенція з місцевого бюджету на здійснення переданих видатків у сфері освіти за рахунок коштів освітньої субвенції (видатки на оплату праці з нарахуваннями педагогічних працівників інклюзивно- ресурсних центрів)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</si>
  <si>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 загальної середньої освіти)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</si>
  <si>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загальної середньої освіти)
(3220)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</si>
  <si>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</si>
  <si>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
(3220)</t>
  </si>
  <si>
    <t xml:space="preserve"> Субвенція з місцевого бюджету на здійснення підтримки  окремих закладів та заходів у системі охорони здоров’я за рахунок відповідної субвенції з державного бюджету ( лікування хворих на цукровий діабет інсуліном та нецукровий діабет десмопресином)
(2620)</t>
  </si>
  <si>
    <t>Трансферти іншим бюджетам</t>
  </si>
  <si>
    <t xml:space="preserve"> Рівень виконання робіт на початок бюджетного періоду, % </t>
  </si>
  <si>
    <t xml:space="preserve"> Рівень готовності об’єкта на кінець бюджетного періоду, % </t>
  </si>
  <si>
    <t>Обсяг видатків бюджету розвитку, які спрямовуються на будівництво об’єкта у бюджетному періоді, тис.грн.</t>
  </si>
  <si>
    <t>0212010</t>
  </si>
  <si>
    <t>Екологічний податок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</si>
  <si>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</si>
  <si>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</si>
  <si>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 </t>
  </si>
  <si>
    <t>Місцеві податки та збори, що сплачуються (перераховуються) згідно з Податковим кодексом України</t>
  </si>
  <si>
    <t>Екологічний податок, який справляється за викіди в атмосферне повітря забрюднюючих речовин стаціонарними джерелами забруднення (за винятком викидів в атмосферне повітря двоокису вуглецю)</t>
  </si>
  <si>
    <t xml:space="preserve"> Фінансовий відділ Попаснянської міської ради</t>
  </si>
  <si>
    <t>0212152</t>
  </si>
  <si>
    <t>081002</t>
  </si>
  <si>
    <t>Інші програми  та заходи у сфері охорони здоров"я</t>
  </si>
  <si>
    <t>0216011</t>
  </si>
  <si>
    <t>6011</t>
  </si>
  <si>
    <t>Експлуатація та технічне обслуговування житлового фонду</t>
  </si>
  <si>
    <t>7958,993</t>
  </si>
  <si>
    <t>Додаток 2 до розпорядження керівника Попаснянської міської  військово-цивільної адміністрації                                  від          .        .  2021 №</t>
  </si>
  <si>
    <t>Додаток 4
до розпорядження керівника Попаснянської міської військово-цивільної адміністрації
від          .        .  2021 №</t>
  </si>
  <si>
    <t>Додаток 5
до розпорядження керівника Попаснянської міської військово-цивільної адміністрації
від          .        .  2021 №</t>
  </si>
  <si>
    <t>Додаток 6
до розпорядження керівника Попаснянської міської військово-цивільної адміністрації
від          .        .  2021 №</t>
  </si>
  <si>
    <t>Додаток 1 до розпорядження керівника Попаснянської міської  військово-цивільної адміністрації                                                             від          .        .  2021 №</t>
  </si>
  <si>
    <t>Додаток 3 до розпорядження керівника Попаснянської міської військово-цивільної адміністрації                                                                                         від          .        .  2021 №</t>
  </si>
  <si>
    <t>Субвенція з місцевого бюджету на забезпечення якісної,сучасної та доступної загальної середньої освіти "Нова українська школа"за рахунок відповідної субвенції з державного бюджету</t>
  </si>
  <si>
    <t>0211210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</si>
  <si>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</si>
  <si>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Проведення навчально-тренувальних зборів і змагань з неолімпійських видів спорту</t>
  </si>
  <si>
    <t>Забезпечення діяльності місцевих центрів фізичного здоров‘я населення "Спорт для всіх" та проведення фізкультурно-масових заходів серед населенню регіона</t>
  </si>
  <si>
    <t>0216014</t>
  </si>
  <si>
    <t>Забезпечення збору та вивезення сміття та відходів</t>
  </si>
  <si>
    <t>0217130</t>
  </si>
  <si>
    <t>0421</t>
  </si>
  <si>
    <t>Здійснення заходів із землеустрою</t>
  </si>
  <si>
    <t>0217310</t>
  </si>
  <si>
    <t>Будівництво об‘єктів житлово- комунального господарства</t>
  </si>
  <si>
    <t>0217322</t>
  </si>
  <si>
    <t>Будівництво медичних установ та закладів</t>
  </si>
  <si>
    <t>0217330</t>
  </si>
  <si>
    <t>Будівництво інших об‘єктів комунальної власності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</si>
  <si>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</si>
  <si>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</si>
  <si>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</si>
  <si>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</si>
  <si>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Проведення навчально-тренувальних зборів і змагань з олімпійських видів спорту</t>
  </si>
  <si>
    <t>0213242</t>
  </si>
  <si>
    <t>0213241</t>
  </si>
  <si>
    <t>Інші заходи у сфері соціального захисту і соціального забезпечення</t>
  </si>
  <si>
    <t>Розробка проєктно-кошторисної документації з проведенням її експертизи щодо об’єкту: «Будівництво індустріального парку «Східний регіон» за адресою: Луганська область, м.Попасна»</t>
  </si>
  <si>
    <t xml:space="preserve">Капітальний ремонт приміщень адмінбудівлі Попаснянскьої міської  військово-цівільної адміністрації Северодонецького району Луганської області за адресою: Луганська область, м.Попасна вул. Мічуріна 1 </t>
  </si>
  <si>
    <t xml:space="preserve">Капітальний ремонт існуючих заповнень віконних прорізів в житловому будинку по вул. Первомайська  48 м. Попасна Луганської області  </t>
  </si>
  <si>
    <t xml:space="preserve">Капітальний ремонт головного корпусу (II поверх, центральний вхід) Комунального некомерційного підприємства "Попаснянська Центральна районна лікарня Попаснянської районної ради Луганської області" за адресою: м.Попасна, вул. Сонячна, 35А (додаткові роботи) </t>
  </si>
  <si>
    <t>'Інші заходи, пов`язані з економічною діяльністю</t>
  </si>
  <si>
    <t xml:space="preserve">Розробка стратегічної екологічної оцінки Генерального плану м. Попасна Луганської області та її узгодження </t>
  </si>
  <si>
    <t xml:space="preserve">Послуги зі збору, обробки та аналізу вихідних даних для розробки стратегічної екологічної оцінки (СЕО) Генерального плану міста Попасна Луганської області </t>
  </si>
  <si>
    <t>х</t>
  </si>
  <si>
    <t>Інші заходи та заклади молодіжної політики</t>
  </si>
  <si>
    <t xml:space="preserve">Хрещення Господнє – свято Богоявлення 
</t>
  </si>
  <si>
    <t>День вшанування учасників бойових дій на території інших держав.</t>
  </si>
  <si>
    <t>День працівників  житлово-комунального господарства і побутового обслуговування населення</t>
  </si>
  <si>
    <t>День Національної Гвардії України</t>
  </si>
  <si>
    <t>День довкілля</t>
  </si>
  <si>
    <t>Міжнародний день пам’яті жертв радіаційних аварій та катастроф</t>
  </si>
  <si>
    <t xml:space="preserve">День міжнародної солідарності  трудящих </t>
  </si>
  <si>
    <t>День пам’яті та примирення. День матері</t>
  </si>
  <si>
    <t>День Перемоги над нацизмом у другій світовій війні</t>
  </si>
  <si>
    <t xml:space="preserve">День медичного працівника  </t>
  </si>
  <si>
    <t>День скорботи і вшанування пам'яті жертв  війни в Україні</t>
  </si>
  <si>
    <t>День молоді</t>
  </si>
  <si>
    <t>День Конституції України</t>
  </si>
  <si>
    <t xml:space="preserve">День визволення м. Попасна від незаконних збройних формувань </t>
  </si>
  <si>
    <t>День Національної поліції</t>
  </si>
  <si>
    <t>День Державного Прапора України</t>
  </si>
  <si>
    <t xml:space="preserve">День Незалежності України </t>
  </si>
  <si>
    <t>День знань</t>
  </si>
  <si>
    <t>День міста Попасна</t>
  </si>
  <si>
    <t>День підприємця</t>
  </si>
  <si>
    <t>День селища Камишуваха</t>
  </si>
  <si>
    <t>День рятівника України</t>
  </si>
  <si>
    <t>День селища Врубівка</t>
  </si>
  <si>
    <t>День вихователя</t>
  </si>
  <si>
    <t>День усиновлення</t>
  </si>
  <si>
    <t>Міжнародний день людей похилого віку</t>
  </si>
  <si>
    <t>День працівників освіти</t>
  </si>
  <si>
    <t>День села Троїцьке</t>
  </si>
  <si>
    <t>День захисника України. День Українського козацтва</t>
  </si>
  <si>
    <t>День  залізничників</t>
  </si>
  <si>
    <t>День працівників соціальної сфери</t>
  </si>
  <si>
    <t>Всеукраїнський день працівників культури та майстрів народного мистецтва</t>
  </si>
  <si>
    <t>День працівників сільського господарства</t>
  </si>
  <si>
    <t>День гідності і свободи</t>
  </si>
  <si>
    <t>День пам'яті жертв голодоморів</t>
  </si>
  <si>
    <t>День працівників прокуратури</t>
  </si>
  <si>
    <t>Міжнародний день інвалідів</t>
  </si>
  <si>
    <t>Міжнародний день волонтера</t>
  </si>
  <si>
    <t>День Збройних сил України</t>
  </si>
  <si>
    <t xml:space="preserve">День місцевого самоврядування </t>
  </si>
  <si>
    <t>День  вшанування учасників ліквідації  аварії на  ЧАЕС</t>
  </si>
  <si>
    <t>День працівників суду</t>
  </si>
  <si>
    <t>День Святого Миколая, відкриття ялинок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</si>
  <si>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засобів навчання та обладнання (крім комп'ютерного) для учнів початкових класів, що навчаються за новими методиками відповідно до Концепції "Нова українська школа")                                  (3220)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</si>
  <si>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сучасних меблів для початкових класів нової української школи)                   (3220)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</si>
  <si>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(на закупівлю комп'ютерного обладнання для початкових класів)           (3220)</t>
  </si>
  <si>
    <t>Капітальний ремонт тротуарного покриття скверу по вул.Суворова, м.Попасна Луганської області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</si>
  <si>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ком"ютерного та мультимедійного  обладнання, пристосувань  для навчальних кабінетів,засобів навчання, у тому числі навчально-методичної та навчальної літератури, зошитів з друкованою основою , у тому числі їх електроних версій та з аудіосупроводом, для закладів загальної середньої освіти, що є учасниками всеукраїнського інноваційного освітнього проекту за темою "Розроблення і впровадження  навчально-методичного забезпечення для  закладів загальної середньої освіти в умовах реалізації Державного стандарту базової середньої освіти)                                                      (3220)</t>
  </si>
  <si>
    <t>0211061</t>
  </si>
  <si>
    <t>Співфінансування заходів,що реалізуються за рахунок субвенції з державного бюджету місцевим бюджетам на забезпечення якісної,сучасної та доступної загальної середньої освіти "Нова українська школа"</t>
  </si>
  <si>
    <t xml:space="preserve"> Виконання заходів, спрямованих  на забезпечення якісної, сучасної та доступної загальної середньої освіти  "Нова українська школа" за рахунок субвенції з державного бюджету місцевим бюджетам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</si>
  <si>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</si>
  <si>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</si>
  <si>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</si>
  <si>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</si>
  <si>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проекту "Капітальний ремонт спортивного майданчику загальноосвітньої школи І-ІІІ ступеня №21 по вул.Чехова,7 у м.Попасна"</t>
  </si>
  <si>
    <t xml:space="preserve">Капітальний ремонт туалету І поверху адмінбудівлі  Попаснянскьої міської військово-цівільної адміністрації Северодонецького району Луганської області за адресою: Луганська область, м.Попасна вул. Мічуріна 1 </t>
  </si>
  <si>
    <t>Начальник управління фінансів</t>
  </si>
  <si>
    <t>Галина КАРАЧЕВЦЕВА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</si>
  <si>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</si>
  <si>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</si>
  <si>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</si>
  <si>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</si>
  <si>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Інша субвенція з місцевого бюджету на проекти культурного обміну між Луганської та Львівською областями 
(2620)</t>
  </si>
  <si>
    <t>субвенції спеціального  фонду</t>
  </si>
  <si>
    <t>Районний бюджет Сєвєродонецького району</t>
  </si>
  <si>
    <t xml:space="preserve">Облаштування дахового  водовідливу житлового будинку по вул. Площа Героїв буд.3,  м. Попасна Сєвєродонецького району Луганської області </t>
  </si>
  <si>
    <t>7321</t>
  </si>
  <si>
    <t xml:space="preserve">Капітальний ремон (заміна) старої огорожі Попаснянської ЗОШ І-ІІІ ст. №24 Попаснянської районної ради Луганської області, розташованої за адресою: м. Попасна, пров. Лермонтова, 14 </t>
  </si>
  <si>
    <t>538,081</t>
  </si>
  <si>
    <t>Капітальний ремонт покрівлі будівлі стаціонару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 вул. Базарна,1</t>
  </si>
  <si>
    <t xml:space="preserve">Капітальний ремонт головного корпусу (ІІ поверх, центральний вхід)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Попасна, вул. Сонячна, 35А </t>
  </si>
  <si>
    <t xml:space="preserve">Реконструкція (термомодернізація) будівлі поліклініки Комунального некомерційного підприємства «Попаснянська Центральна районна лікарня Попаснянської районної ради Луганської області» за адресою: м.Попасна, вул.. Соборна, 5 </t>
  </si>
  <si>
    <t>Облаштування спортивного майданчика по вул.Космічна смт.Комишуваха Сєвєродонецького району Луганської області</t>
  </si>
  <si>
    <t>Облаштування тротуарної доріжки від вулиці Космічна до вулиці Крамнична смт.Комишуваха Сєвєродонецького району Луганської області</t>
  </si>
  <si>
    <t>06</t>
  </si>
  <si>
    <t>0611010</t>
  </si>
  <si>
    <t>0611021</t>
  </si>
  <si>
    <t>0611031</t>
  </si>
  <si>
    <t>0611061</t>
  </si>
  <si>
    <t>0611070</t>
  </si>
  <si>
    <t>0611080</t>
  </si>
  <si>
    <t>0611141</t>
  </si>
  <si>
    <t>0611142</t>
  </si>
  <si>
    <t>0611151</t>
  </si>
  <si>
    <t>0611152</t>
  </si>
  <si>
    <t>0611160</t>
  </si>
  <si>
    <t>0611200</t>
  </si>
  <si>
    <t>0611181</t>
  </si>
  <si>
    <t>0611182</t>
  </si>
  <si>
    <t>0611210</t>
  </si>
  <si>
    <t>0613133</t>
  </si>
  <si>
    <t>0614030</t>
  </si>
  <si>
    <t>0614040</t>
  </si>
  <si>
    <t>0614060</t>
  </si>
  <si>
    <t>0615011</t>
  </si>
  <si>
    <t>0615012</t>
  </si>
  <si>
    <t>0615031</t>
  </si>
  <si>
    <t>0615061</t>
  </si>
  <si>
    <t>0615062</t>
  </si>
  <si>
    <t>0610160</t>
  </si>
  <si>
    <t>Надходження від скидів забруднюючих речовин безпосередньо у водні об`єкти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</si>
  <si>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</si>
  <si>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</si>
  <si>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</si>
  <si>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0617321</t>
  </si>
  <si>
    <t>0617361</t>
  </si>
  <si>
    <t>0610</t>
  </si>
  <si>
    <t>Відділ освіти,  культури, молоді та спорту Попаснянської міської військово-цивільної адміністрації</t>
  </si>
  <si>
    <t>Відділ освіти, культури, молоді та спорту Попаснянської міської військово-цивільної адміністрації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</si>
  <si>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</si>
  <si>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Заходи державної політики з питань дітей та їх соціального захисту</t>
  </si>
  <si>
    <t>0213112</t>
  </si>
  <si>
    <t>0617366</t>
  </si>
  <si>
    <t>Реалізація проектів в рамках Надзвичайної кредитної програми для відновлення України</t>
  </si>
  <si>
    <t>Капітальний ремонт харчоблоку Врубівського ліцею Попаснянської міської територіальної громади Луганської області</t>
  </si>
  <si>
    <t>Капітальний ремонт системи опалення адмінбудівлі по вул.Мічуріна 1 міста Попасна Луганської області</t>
  </si>
  <si>
    <t>1061</t>
  </si>
  <si>
    <t>Капітальний ремонт Комунального закладу "Дошкільний навчальний заклад (ясла-садок) №1 комбінованого типу Попаснянської районної ради Луганської області</t>
  </si>
  <si>
    <t>Реконструкція: утеплення огороджувальних конструкцій будівлі Попаснянської загальноосвітньої школи І-ІІІ ступенів №24 Попаснянської районної ради Луганської області, розташованої за адресою: м.Попасна, пров.Лермонтова, 14</t>
  </si>
  <si>
    <t>0217323</t>
  </si>
  <si>
    <t>Будівництво установ та закладів соціальної сфери</t>
  </si>
  <si>
    <t>Корегування робочого проекту "Будівництво двох свердловин водопостачання питної води в районі Черемушки міста Попасна"</t>
  </si>
  <si>
    <t>7310</t>
  </si>
  <si>
    <t>Реконструкція системи газопостачання квартир багатоповерхових житлових будинків</t>
  </si>
  <si>
    <t>Співфінансування   капітального ремонту коридору КЗ "Попаснянський центр комплексної реабілітації для осіб з інвалідністю "Лелека"</t>
  </si>
  <si>
    <t>Субвенція з місцевого бюджету за рахунок залишку коштів освітньої субвенції, що утворився на початок бюджетного періоду</t>
  </si>
  <si>
    <t>0611041</t>
  </si>
  <si>
    <t>Інша субвенція з місцевого бюджету на капітальний ремонт покрівлі будівлі стаціонару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 вул. Базарна,1            (3220)</t>
  </si>
  <si>
    <t>Інша субвенція з місцевого бюджету на капітальний ремонт головного корпусу (ІІ поверх, центральний вхід)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Попасна, вул. Сонячна, 35А            (3220)</t>
  </si>
  <si>
    <t>Інша субвенція з місцевого бюджету на капітальний ремон (заміна) старої огорожі Попаснянської ЗОШ І-ІІІ ст. №24 Попаснянської районної ради Луганської області, розташованої за адресою: м. Попасна, пров. Лермонтова, 14                            (3220)</t>
  </si>
  <si>
    <t>12519000000</t>
  </si>
  <si>
    <t>Бюджет Лисичанської міської територіальної громади</t>
  </si>
  <si>
    <t>Інша субвенція з місцевого бюджету на погашення заборгованості закладів культури за природний газ                                                                 (2620)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</si>
  <si>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(підвищення кваліфікації вчителів, які забезпечують здобуття учнями 5-11(12) класів загальної середньої освіти)                                                   (2620)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</si>
  <si>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                                                (3220)</t>
  </si>
  <si>
    <t>Субвенція з місцевого бюджету за рахунок залишку коштів освітньої субвенції, що утворився на початок бюджетного періоду (на придбання обладнання для їдалень  (харчоблоків) закладів освіти) (3220)</t>
  </si>
  <si>
    <t>Рентна плата за користування надрами для видобування корисних копалин місцевого значення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</si>
  <si>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</si>
  <si>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453,280</t>
  </si>
  <si>
    <t>49,755</t>
  </si>
  <si>
    <t>Реконструкція комерційного вузла обліку природного газу котельні комунального некомерційного підприємства "Попаснянська міська багатопрофільна лікарня" Попаснянської міської ради за адресою: Луганська обл., м.Попасна, вул. Миру, буд. 149-151</t>
  </si>
  <si>
    <t>Проєктні роботи по об’єкту "Капітальний ремонт (утеплення з використанням енергозберігаючих технологій) комунального закладу "Заклад дошкільної освіти (ясла-садок) №2 комбінованого типу Попаснянської міської територіальної громади Луганської області", що розташований за адресою м.Попасна, вул. Миру 155 А</t>
  </si>
  <si>
    <t xml:space="preserve">Субвенція з місцевого бюджету на здійснення підтримки окремих закладів та
заходів у системі охорони здоров'я за рахунок відповідної субвенції з державного бюджету (на забезпечення закладів охорони
здоров'я, які проводять попередню
діагностику гострої респіраторної хвороби
С0VID-19, спричиненої коронавірусом SARS-CoV-2, експрес-тестами для визначення
антигена коронавірусу SARS-CoV-2 та
наборами для відбору біологічного матеріалу методам полімеразної ланцюгової
реакції)                                                                                                       (2620)
</t>
  </si>
  <si>
    <r>
      <t>Інша субвенція на співфінансування субвенції на реалізацію інфраструктурних проектів на розвиток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соціально-культурної сфери (придбання мультифункціональних спортивних майданчиків)           (3220)</t>
    </r>
  </si>
  <si>
    <t>Інша субвенція на співфінансування субвенції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(придбання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навчання)        (2620)</t>
  </si>
  <si>
    <t>Інша субвенція з місцевого бюджету на співфінансування проекту "Капітальний ремонт опорного навчального закладу "Попаснянська загальноосвітня школа І-ІІІ ступенів № 1 Попаснянської районної ради Луганської області", розташованої за адресою: Луганська обл., Попаснянський район, м.Попасна, вул.Донецька, буд.2-А"                                                 (3220)</t>
  </si>
  <si>
    <t>Інша субвенція з місцевого бюджету на реконструкцію (термомодернізацію) будівлі поліклініки Комунального некомерційного підприємства «Попаснянська Центральна районна лікарня Попаснянської районної ради Луганської області» за адресою: м.Попасна, вул.. Соборна, 5                                  (3220)</t>
  </si>
  <si>
    <t>Збір за провадження торговельної діяльності (роздрібна, оптова, валютними цінностями, ресторанне господарство, із придбанням торгового патенту), що справлявся до 1 січня 2015 року</t>
  </si>
  <si>
    <t>Збір за провадження деяких видів підприємницької діяльності, що справлявся до 1 січня 2015 року </t>
  </si>
  <si>
    <t>Інша субвенція з місцевого бюджету на забезпечення безперебійного функціонування інформаціоно-аналітичної системи моніторингу виконання місцевих бюджетів області
(2620)</t>
  </si>
  <si>
    <t>Інша дотація з місцевого бюджету бюджету Попаснянської міської територіальної громади для вирішення питань погашення заборгованості за енергоносії по адміністративній будівлі, яка розташована за адресою: пл.Миру, буд.2, Попасна, Сєвєродонецький район, Луганська область           (2620)</t>
  </si>
  <si>
    <t>Інша дотація  з місцевого бюджету для компенсації виплат з заробітної плати та нарахуванням працівникам закладів культури, які увійшли до сфери управління Лисичанської міської територіальної громади                                       (2620)</t>
  </si>
  <si>
    <t xml:space="preserve">                                                       </t>
  </si>
  <si>
    <t>49,990</t>
  </si>
  <si>
    <r>
      <t>Виготовлення проєктно-кошторисної документації по об</t>
    </r>
    <r>
      <rPr>
        <sz val="12"/>
        <rFont val="Calibri"/>
        <family val="2"/>
      </rPr>
      <t>‘</t>
    </r>
    <r>
      <rPr>
        <sz val="12"/>
        <rFont val="Times New Roman"/>
        <family val="1"/>
      </rPr>
      <t>єкту: "Капітальний ремонт харчоблоку Попаснянського ліцею № 21 Попаснянської міської територіальної громади"</t>
    </r>
  </si>
  <si>
    <t>Начальник управління фінансів                                                                                                                         Галина КАРАЧЕВЦЕВА</t>
  </si>
  <si>
    <t>ПРОЄКТ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</si>
</sst>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_-* #,##0.00\ _г_р_н_._-;\-* #,##0.00\ _г_р_н_._-;_-* &quot;-&quot;??\ _г_р_н_._-;_-@_-"/>
    <numFmt numFmtId="191" formatCode="* #,##0;* \-#,##0;* &quot;-&quot;;@"/>
    <numFmt numFmtId="192" formatCode="* #,##0.00;* \-#,##0.00;* &quot;-&quot;??;@"/>
    <numFmt numFmtId="193" formatCode="* _-#,##0&quot;р.&quot;;* \-#,##0&quot;р.&quot;;* _-&quot;-&quot;&quot;р.&quot;;@"/>
    <numFmt numFmtId="194" formatCode="* _-#,##0.00&quot;р.&quot;;* \-#,##0.00&quot;р.&quot;;* _-&quot;-&quot;??&quot;р.&quot;;@"/>
    <numFmt numFmtId="195" formatCode="#,##0.0"/>
    <numFmt numFmtId="196" formatCode="0.0"/>
    <numFmt numFmtId="197" formatCode="0.000"/>
    <numFmt numFmtId="198" formatCode="#,##0.000_ ;[Red]\-#,##0.000\ "/>
    <numFmt numFmtId="199" formatCode="#,##0.000"/>
    <numFmt numFmtId="200" formatCode="[$-FC19]d\ mmmm\ yyyy\ &quot;г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4"/>
      <name val="Times New Roman Cyr"/>
      <family val="0"/>
    </font>
    <font>
      <sz val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7" fillId="44" borderId="1" applyNumberFormat="0" applyAlignment="0" applyProtection="0"/>
    <xf numFmtId="0" fontId="7" fillId="7" borderId="1" applyNumberFormat="0" applyAlignment="0" applyProtection="0"/>
    <xf numFmtId="0" fontId="8" fillId="45" borderId="2" applyNumberFormat="0" applyAlignment="0" applyProtection="0"/>
    <xf numFmtId="0" fontId="15" fillId="45" borderId="1" applyNumberFormat="0" applyAlignment="0" applyProtection="0"/>
    <xf numFmtId="0" fontId="23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46" borderId="8" applyNumberFormat="0" applyAlignment="0" applyProtection="0"/>
    <xf numFmtId="0" fontId="10" fillId="46" borderId="8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64" fillId="47" borderId="9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" fillId="3" borderId="0" applyNumberFormat="0" applyBorder="0" applyAlignment="0" applyProtection="0"/>
    <xf numFmtId="0" fontId="6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1" applyNumberFormat="0" applyFont="0" applyAlignment="0" applyProtection="0"/>
    <xf numFmtId="0" fontId="0" fillId="50" borderId="12" applyNumberFormat="0" applyFont="0" applyAlignment="0" applyProtection="0"/>
    <xf numFmtId="194" fontId="1" fillId="0" borderId="0" applyFont="0" applyFill="0" applyBorder="0" applyAlignment="0" applyProtection="0"/>
    <xf numFmtId="0" fontId="68" fillId="47" borderId="13" applyNumberFormat="0" applyAlignment="0" applyProtection="0"/>
    <xf numFmtId="0" fontId="18" fillId="0" borderId="14" applyNumberFormat="0" applyFill="0" applyAlignment="0" applyProtection="0"/>
    <xf numFmtId="0" fontId="69" fillId="51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1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9" fillId="0" borderId="0" xfId="0" applyNumberFormat="1" applyFont="1" applyFill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49" fontId="21" fillId="0" borderId="0" xfId="105" applyNumberFormat="1" applyFont="1">
      <alignment/>
      <protection/>
    </xf>
    <xf numFmtId="0" fontId="21" fillId="0" borderId="0" xfId="105" applyFont="1">
      <alignment/>
      <protection/>
    </xf>
    <xf numFmtId="0" fontId="21" fillId="0" borderId="0" xfId="105">
      <alignment/>
      <protection/>
    </xf>
    <xf numFmtId="0" fontId="31" fillId="0" borderId="0" xfId="105" applyFont="1">
      <alignment/>
      <protection/>
    </xf>
    <xf numFmtId="0" fontId="26" fillId="0" borderId="0" xfId="105" applyFont="1" applyAlignment="1">
      <alignment horizontal="center" vertical="top" wrapText="1"/>
      <protection/>
    </xf>
    <xf numFmtId="0" fontId="21" fillId="0" borderId="0" xfId="105" applyFont="1" applyAlignment="1">
      <alignment horizontal="right"/>
      <protection/>
    </xf>
    <xf numFmtId="0" fontId="27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27" fillId="0" borderId="15" xfId="105" applyFont="1" applyBorder="1" applyAlignment="1">
      <alignment horizontal="center" vertical="center"/>
      <protection/>
    </xf>
    <xf numFmtId="0" fontId="27" fillId="0" borderId="15" xfId="105" applyFont="1" applyBorder="1" applyAlignment="1">
      <alignment horizontal="center"/>
      <protection/>
    </xf>
    <xf numFmtId="0" fontId="27" fillId="0" borderId="0" xfId="105" applyFont="1">
      <alignment/>
      <protection/>
    </xf>
    <xf numFmtId="0" fontId="27" fillId="0" borderId="0" xfId="105" applyFont="1" applyBorder="1">
      <alignment/>
      <protection/>
    </xf>
    <xf numFmtId="0" fontId="27" fillId="0" borderId="0" xfId="109" applyFont="1">
      <alignment/>
      <protection/>
    </xf>
    <xf numFmtId="0" fontId="27" fillId="0" borderId="0" xfId="0" applyFont="1" applyFill="1" applyAlignment="1">
      <alignment/>
    </xf>
    <xf numFmtId="0" fontId="19" fillId="0" borderId="15" xfId="0" applyFont="1" applyBorder="1" applyAlignment="1">
      <alignment vertical="center" wrapText="1"/>
    </xf>
    <xf numFmtId="0" fontId="0" fillId="52" borderId="16" xfId="0" applyNumberFormat="1" applyFont="1" applyFill="1" applyBorder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17" xfId="0" applyNumberFormat="1" applyFont="1" applyFill="1" applyBorder="1" applyAlignment="1" applyProtection="1">
      <alignment wrapText="1"/>
      <protection/>
    </xf>
    <xf numFmtId="0" fontId="0" fillId="52" borderId="18" xfId="0" applyNumberFormat="1" applyFont="1" applyFill="1" applyBorder="1" applyAlignment="1" applyProtection="1">
      <alignment wrapText="1"/>
      <protection/>
    </xf>
    <xf numFmtId="0" fontId="0" fillId="52" borderId="0" xfId="0" applyNumberFormat="1" applyFont="1" applyFill="1" applyBorder="1" applyAlignment="1" applyProtection="1">
      <alignment wrapText="1"/>
      <protection/>
    </xf>
    <xf numFmtId="0" fontId="0" fillId="52" borderId="0" xfId="0" applyNumberFormat="1" applyFont="1" applyFill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7" fillId="0" borderId="15" xfId="105" applyFont="1" applyBorder="1" applyAlignment="1">
      <alignment horizontal="left" vertical="top" wrapText="1"/>
      <protection/>
    </xf>
    <xf numFmtId="0" fontId="0" fillId="52" borderId="0" xfId="0" applyNumberFormat="1" applyFont="1" applyFill="1" applyAlignment="1" applyProtection="1">
      <alignment horizontal="left" vertical="center" wrapText="1"/>
      <protection/>
    </xf>
    <xf numFmtId="0" fontId="27" fillId="52" borderId="19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 wrapText="1"/>
    </xf>
    <xf numFmtId="0" fontId="27" fillId="52" borderId="20" xfId="0" applyNumberFormat="1" applyFont="1" applyFill="1" applyBorder="1" applyAlignment="1" applyProtection="1">
      <alignment horizontal="center" vertical="center" wrapText="1"/>
      <protection/>
    </xf>
    <xf numFmtId="0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/>
    </xf>
    <xf numFmtId="0" fontId="27" fillId="52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107" applyFont="1">
      <alignment/>
      <protection/>
    </xf>
    <xf numFmtId="197" fontId="27" fillId="52" borderId="0" xfId="0" applyNumberFormat="1" applyFont="1" applyFill="1" applyAlignment="1">
      <alignment/>
    </xf>
    <xf numFmtId="0" fontId="27" fillId="0" borderId="22" xfId="0" applyNumberFormat="1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>
      <alignment horizontal="center" vertical="center"/>
    </xf>
    <xf numFmtId="0" fontId="27" fillId="52" borderId="15" xfId="0" applyFont="1" applyFill="1" applyBorder="1" applyAlignment="1">
      <alignment horizontal="center" vertical="center" wrapText="1"/>
    </xf>
    <xf numFmtId="0" fontId="27" fillId="53" borderId="15" xfId="0" applyFont="1" applyFill="1" applyBorder="1" applyAlignment="1">
      <alignment horizontal="center" vertical="center" wrapText="1"/>
    </xf>
    <xf numFmtId="197" fontId="19" fillId="0" borderId="0" xfId="0" applyNumberFormat="1" applyFont="1" applyFill="1" applyBorder="1" applyAlignment="1" applyProtection="1">
      <alignment horizontal="right" vertical="center" wrapText="1"/>
      <protection/>
    </xf>
    <xf numFmtId="197" fontId="27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197" fontId="27" fillId="0" borderId="0" xfId="0" applyNumberFormat="1" applyFont="1" applyAlignment="1">
      <alignment/>
    </xf>
    <xf numFmtId="49" fontId="19" fillId="52" borderId="15" xfId="0" applyNumberFormat="1" applyFont="1" applyFill="1" applyBorder="1" applyAlignment="1">
      <alignment horizontal="center" vertical="center" wrapText="1"/>
    </xf>
    <xf numFmtId="0" fontId="19" fillId="52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vertical="center"/>
    </xf>
    <xf numFmtId="0" fontId="27" fillId="52" borderId="23" xfId="0" applyFont="1" applyFill="1" applyBorder="1" applyAlignment="1">
      <alignment vertical="center" wrapText="1"/>
    </xf>
    <xf numFmtId="0" fontId="27" fillId="52" borderId="23" xfId="0" applyFont="1" applyFill="1" applyBorder="1" applyAlignment="1">
      <alignment vertical="center"/>
    </xf>
    <xf numFmtId="49" fontId="27" fillId="52" borderId="15" xfId="0" applyNumberFormat="1" applyFont="1" applyFill="1" applyBorder="1" applyAlignment="1">
      <alignment horizontal="center" vertical="center" wrapText="1"/>
    </xf>
    <xf numFmtId="197" fontId="0" fillId="0" borderId="0" xfId="0" applyNumberFormat="1" applyFont="1" applyFill="1" applyAlignment="1" applyProtection="1">
      <alignment/>
      <protection/>
    </xf>
    <xf numFmtId="0" fontId="19" fillId="52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7" fillId="52" borderId="21" xfId="0" applyFont="1" applyFill="1" applyBorder="1" applyAlignment="1">
      <alignment vertical="center" wrapText="1"/>
    </xf>
    <xf numFmtId="49" fontId="27" fillId="53" borderId="15" xfId="0" applyNumberFormat="1" applyFont="1" applyFill="1" applyBorder="1" applyAlignment="1">
      <alignment horizontal="center" vertical="center" wrapText="1"/>
    </xf>
    <xf numFmtId="49" fontId="27" fillId="52" borderId="0" xfId="0" applyNumberFormat="1" applyFont="1" applyFill="1" applyBorder="1" applyAlignment="1">
      <alignment horizontal="center" vertical="center" wrapText="1"/>
    </xf>
    <xf numFmtId="0" fontId="27" fillId="53" borderId="24" xfId="0" applyFont="1" applyFill="1" applyBorder="1" applyAlignment="1">
      <alignment horizontal="center" vertical="center" wrapText="1"/>
    </xf>
    <xf numFmtId="49" fontId="27" fillId="52" borderId="23" xfId="0" applyNumberFormat="1" applyFont="1" applyFill="1" applyBorder="1" applyAlignment="1">
      <alignment horizontal="center" vertical="center" wrapText="1"/>
    </xf>
    <xf numFmtId="49" fontId="27" fillId="52" borderId="24" xfId="0" applyNumberFormat="1" applyFont="1" applyFill="1" applyBorder="1" applyAlignment="1">
      <alignment horizontal="center" vertical="center" wrapText="1"/>
    </xf>
    <xf numFmtId="49" fontId="27" fillId="53" borderId="21" xfId="0" applyNumberFormat="1" applyFont="1" applyFill="1" applyBorder="1" applyAlignment="1">
      <alignment horizontal="center" vertical="center" wrapText="1"/>
    </xf>
    <xf numFmtId="0" fontId="27" fillId="53" borderId="0" xfId="0" applyFont="1" applyFill="1" applyBorder="1" applyAlignment="1">
      <alignment horizontal="center" vertical="center" wrapText="1"/>
    </xf>
    <xf numFmtId="0" fontId="27" fillId="53" borderId="25" xfId="0" applyFont="1" applyFill="1" applyBorder="1" applyAlignment="1">
      <alignment horizontal="center" vertical="center" wrapText="1"/>
    </xf>
    <xf numFmtId="49" fontId="27" fillId="52" borderId="25" xfId="0" applyNumberFormat="1" applyFont="1" applyFill="1" applyBorder="1" applyAlignment="1">
      <alignment horizontal="center" vertical="center" wrapText="1"/>
    </xf>
    <xf numFmtId="0" fontId="27" fillId="52" borderId="21" xfId="0" applyFont="1" applyFill="1" applyBorder="1" applyAlignment="1">
      <alignment horizontal="center" vertical="center" wrapText="1"/>
    </xf>
    <xf numFmtId="49" fontId="27" fillId="52" borderId="26" xfId="0" applyNumberFormat="1" applyFont="1" applyFill="1" applyBorder="1" applyAlignment="1">
      <alignment horizontal="center" vertical="center" wrapText="1"/>
    </xf>
    <xf numFmtId="0" fontId="0" fillId="52" borderId="0" xfId="0" applyNumberFormat="1" applyFont="1" applyFill="1" applyAlignment="1" applyProtection="1">
      <alignment horizontal="center"/>
      <protection/>
    </xf>
    <xf numFmtId="49" fontId="27" fillId="52" borderId="15" xfId="0" applyNumberFormat="1" applyFont="1" applyFill="1" applyBorder="1" applyAlignment="1" applyProtection="1">
      <alignment horizontal="center" vertical="center"/>
      <protection/>
    </xf>
    <xf numFmtId="199" fontId="32" fillId="52" borderId="15" xfId="96" applyNumberFormat="1" applyFont="1" applyFill="1" applyBorder="1" applyAlignment="1">
      <alignment vertical="center"/>
      <protection/>
    </xf>
    <xf numFmtId="199" fontId="33" fillId="52" borderId="15" xfId="96" applyNumberFormat="1" applyFont="1" applyFill="1" applyBorder="1" applyAlignment="1">
      <alignment vertical="center"/>
      <protection/>
    </xf>
    <xf numFmtId="199" fontId="27" fillId="52" borderId="15" xfId="96" applyNumberFormat="1" applyFont="1" applyFill="1" applyBorder="1" applyAlignment="1">
      <alignment vertical="center"/>
      <protection/>
    </xf>
    <xf numFmtId="199" fontId="33" fillId="52" borderId="21" xfId="96" applyNumberFormat="1" applyFont="1" applyFill="1" applyBorder="1" applyAlignment="1">
      <alignment vertical="center"/>
      <protection/>
    </xf>
    <xf numFmtId="0" fontId="27" fillId="0" borderId="15" xfId="105" applyFont="1" applyBorder="1" applyAlignment="1">
      <alignment vertical="center" wrapText="1"/>
      <protection/>
    </xf>
    <xf numFmtId="197" fontId="19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1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2" fillId="0" borderId="0" xfId="114" applyNumberFormat="1" applyFont="1" applyFill="1" applyBorder="1" applyAlignment="1" applyProtection="1">
      <alignment vertical="top"/>
      <protection/>
    </xf>
    <xf numFmtId="0" fontId="37" fillId="0" borderId="0" xfId="114" applyNumberFormat="1" applyFont="1" applyFill="1" applyBorder="1" applyAlignment="1" applyProtection="1">
      <alignment vertical="top"/>
      <protection/>
    </xf>
    <xf numFmtId="0" fontId="19" fillId="0" borderId="15" xfId="114" applyNumberFormat="1" applyFont="1" applyFill="1" applyBorder="1" applyAlignment="1" applyProtection="1">
      <alignment horizontal="center" vertical="center" wrapText="1"/>
      <protection/>
    </xf>
    <xf numFmtId="0" fontId="0" fillId="0" borderId="0" xfId="107">
      <alignment/>
      <protection/>
    </xf>
    <xf numFmtId="0" fontId="29" fillId="0" borderId="0" xfId="107" applyNumberFormat="1" applyFont="1" applyFill="1" applyBorder="1" applyAlignment="1" applyProtection="1">
      <alignment/>
      <protection/>
    </xf>
    <xf numFmtId="197" fontId="19" fillId="0" borderId="0" xfId="107" applyNumberFormat="1" applyFont="1" applyFill="1" applyAlignment="1" applyProtection="1">
      <alignment/>
      <protection/>
    </xf>
    <xf numFmtId="197" fontId="27" fillId="0" borderId="0" xfId="107" applyNumberFormat="1" applyFont="1">
      <alignment/>
      <protection/>
    </xf>
    <xf numFmtId="0" fontId="0" fillId="0" borderId="0" xfId="107" applyAlignment="1">
      <alignment horizontal="left" vertical="top"/>
      <protection/>
    </xf>
    <xf numFmtId="0" fontId="27" fillId="0" borderId="15" xfId="105" applyFont="1" applyBorder="1" applyAlignment="1">
      <alignment horizontal="center" vertical="center" wrapText="1"/>
      <protection/>
    </xf>
    <xf numFmtId="0" fontId="32" fillId="0" borderId="15" xfId="0" applyFont="1" applyBorder="1" applyAlignment="1">
      <alignment vertical="center" wrapText="1"/>
    </xf>
    <xf numFmtId="0" fontId="33" fillId="52" borderId="15" xfId="0" applyFont="1" applyFill="1" applyBorder="1" applyAlignment="1">
      <alignment wrapText="1"/>
    </xf>
    <xf numFmtId="0" fontId="33" fillId="0" borderId="15" xfId="108" applyFont="1" applyBorder="1" applyAlignment="1">
      <alignment wrapText="1"/>
      <protection/>
    </xf>
    <xf numFmtId="49" fontId="27" fillId="54" borderId="15" xfId="0" applyNumberFormat="1" applyFont="1" applyFill="1" applyBorder="1" applyAlignment="1">
      <alignment horizontal="center" vertical="center" wrapText="1"/>
    </xf>
    <xf numFmtId="0" fontId="71" fillId="0" borderId="15" xfId="108" applyFont="1" applyBorder="1" applyAlignment="1">
      <alignment wrapText="1"/>
      <protection/>
    </xf>
    <xf numFmtId="199" fontId="19" fillId="54" borderId="15" xfId="0" applyNumberFormat="1" applyFont="1" applyFill="1" applyBorder="1" applyAlignment="1" applyProtection="1">
      <alignment horizontal="center" vertical="center" wrapText="1"/>
      <protection/>
    </xf>
    <xf numFmtId="0" fontId="27" fillId="54" borderId="15" xfId="0" applyFont="1" applyFill="1" applyBorder="1" applyAlignment="1">
      <alignment horizontal="center" vertical="center" wrapText="1"/>
    </xf>
    <xf numFmtId="199" fontId="32" fillId="54" borderId="15" xfId="0" applyNumberFormat="1" applyFont="1" applyFill="1" applyBorder="1" applyAlignment="1">
      <alignment horizontal="center" vertical="center" wrapText="1"/>
    </xf>
    <xf numFmtId="199" fontId="27" fillId="54" borderId="15" xfId="0" applyNumberFormat="1" applyFont="1" applyFill="1" applyBorder="1" applyAlignment="1" applyProtection="1">
      <alignment horizontal="center" vertical="center" wrapText="1"/>
      <protection/>
    </xf>
    <xf numFmtId="199" fontId="33" fillId="54" borderId="15" xfId="0" applyNumberFormat="1" applyFont="1" applyFill="1" applyBorder="1" applyAlignment="1">
      <alignment horizontal="center" vertical="center" wrapText="1"/>
    </xf>
    <xf numFmtId="199" fontId="0" fillId="0" borderId="0" xfId="0" applyNumberFormat="1" applyFont="1" applyFill="1" applyAlignment="1" applyProtection="1">
      <alignment/>
      <protection/>
    </xf>
    <xf numFmtId="49" fontId="27" fillId="54" borderId="21" xfId="0" applyNumberFormat="1" applyFont="1" applyFill="1" applyBorder="1" applyAlignment="1">
      <alignment horizontal="center" vertical="center" wrapText="1"/>
    </xf>
    <xf numFmtId="199" fontId="33" fillId="54" borderId="21" xfId="96" applyNumberFormat="1" applyFont="1" applyFill="1" applyBorder="1" applyAlignment="1">
      <alignment vertical="center"/>
      <protection/>
    </xf>
    <xf numFmtId="197" fontId="27" fillId="54" borderId="0" xfId="0" applyNumberFormat="1" applyFont="1" applyFill="1" applyAlignment="1">
      <alignment/>
    </xf>
    <xf numFmtId="0" fontId="0" fillId="54" borderId="0" xfId="0" applyFont="1" applyFill="1" applyAlignment="1">
      <alignment/>
    </xf>
    <xf numFmtId="199" fontId="0" fillId="52" borderId="0" xfId="0" applyNumberFormat="1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114" applyNumberFormat="1" applyFont="1" applyFill="1" applyBorder="1" applyAlignment="1" applyProtection="1">
      <alignment horizontal="center" vertical="top"/>
      <protection/>
    </xf>
    <xf numFmtId="1" fontId="34" fillId="0" borderId="0" xfId="0" applyNumberFormat="1" applyFont="1" applyFill="1" applyBorder="1" applyAlignment="1" applyProtection="1">
      <alignment vertical="center"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27" fillId="0" borderId="22" xfId="114" applyNumberFormat="1" applyFont="1" applyFill="1" applyBorder="1" applyAlignment="1" applyProtection="1">
      <alignment vertical="top"/>
      <protection/>
    </xf>
    <xf numFmtId="199" fontId="33" fillId="52" borderId="19" xfId="96" applyNumberFormat="1" applyFont="1" applyFill="1" applyBorder="1" applyAlignment="1">
      <alignment vertical="center"/>
      <protection/>
    </xf>
    <xf numFmtId="0" fontId="0" fillId="52" borderId="0" xfId="0" applyNumberFormat="1" applyFont="1" applyFill="1" applyBorder="1" applyAlignment="1" applyProtection="1">
      <alignment horizontal="center"/>
      <protection/>
    </xf>
    <xf numFmtId="0" fontId="0" fillId="54" borderId="0" xfId="0" applyNumberFormat="1" applyFont="1" applyFill="1" applyAlignment="1" applyProtection="1">
      <alignment horizontal="center"/>
      <protection/>
    </xf>
    <xf numFmtId="0" fontId="19" fillId="54" borderId="15" xfId="0" applyFont="1" applyFill="1" applyBorder="1" applyAlignment="1">
      <alignment horizontal="center" vertical="center" wrapText="1"/>
    </xf>
    <xf numFmtId="0" fontId="19" fillId="54" borderId="15" xfId="0" applyFont="1" applyFill="1" applyBorder="1" applyAlignment="1">
      <alignment vertical="center" wrapText="1"/>
    </xf>
    <xf numFmtId="199" fontId="32" fillId="54" borderId="15" xfId="96" applyNumberFormat="1" applyFont="1" applyFill="1" applyBorder="1" applyAlignment="1">
      <alignment vertical="center"/>
      <protection/>
    </xf>
    <xf numFmtId="199" fontId="33" fillId="54" borderId="15" xfId="96" applyNumberFormat="1" applyFont="1" applyFill="1" applyBorder="1" applyAlignment="1">
      <alignment vertical="center"/>
      <protection/>
    </xf>
    <xf numFmtId="0" fontId="27" fillId="54" borderId="1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3" fillId="0" borderId="15" xfId="108" applyFont="1" applyBorder="1" applyAlignment="1">
      <alignment horizontal="center" vertical="center" wrapText="1"/>
      <protection/>
    </xf>
    <xf numFmtId="0" fontId="71" fillId="0" borderId="15" xfId="108" applyFont="1" applyBorder="1" applyAlignment="1">
      <alignment horizontal="center" vertical="center"/>
      <protection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>
      <alignment/>
    </xf>
    <xf numFmtId="0" fontId="48" fillId="0" borderId="15" xfId="0" applyFont="1" applyBorder="1" applyAlignment="1">
      <alignment horizontal="center" vertical="center"/>
    </xf>
    <xf numFmtId="0" fontId="32" fillId="0" borderId="15" xfId="108" applyFont="1" applyBorder="1" applyAlignment="1">
      <alignment horizontal="center" vertical="center" wrapText="1"/>
      <protection/>
    </xf>
    <xf numFmtId="0" fontId="32" fillId="0" borderId="15" xfId="108" applyFont="1" applyBorder="1" applyAlignment="1">
      <alignment wrapText="1"/>
      <protection/>
    </xf>
    <xf numFmtId="0" fontId="19" fillId="0" borderId="15" xfId="0" applyFont="1" applyBorder="1" applyAlignment="1">
      <alignment vertical="center"/>
    </xf>
    <xf numFmtId="49" fontId="72" fillId="54" borderId="15" xfId="0" applyNumberFormat="1" applyFont="1" applyFill="1" applyBorder="1" applyAlignment="1">
      <alignment horizontal="center" vertical="center" wrapText="1"/>
    </xf>
    <xf numFmtId="0" fontId="72" fillId="54" borderId="15" xfId="0" applyFont="1" applyFill="1" applyBorder="1" applyAlignment="1">
      <alignment vertical="center" wrapText="1"/>
    </xf>
    <xf numFmtId="49" fontId="72" fillId="52" borderId="15" xfId="0" applyNumberFormat="1" applyFont="1" applyFill="1" applyBorder="1" applyAlignment="1" applyProtection="1">
      <alignment horizontal="center" vertical="center"/>
      <protection/>
    </xf>
    <xf numFmtId="49" fontId="27" fillId="54" borderId="0" xfId="0" applyNumberFormat="1" applyFont="1" applyFill="1" applyBorder="1" applyAlignment="1">
      <alignment horizontal="center" vertical="center" wrapText="1"/>
    </xf>
    <xf numFmtId="199" fontId="27" fillId="54" borderId="15" xfId="96" applyNumberFormat="1" applyFont="1" applyFill="1" applyBorder="1" applyAlignment="1">
      <alignment vertical="center"/>
      <protection/>
    </xf>
    <xf numFmtId="199" fontId="27" fillId="54" borderId="15" xfId="0" applyNumberFormat="1" applyFont="1" applyFill="1" applyBorder="1" applyAlignment="1">
      <alignment vertical="center"/>
    </xf>
    <xf numFmtId="199" fontId="33" fillId="54" borderId="19" xfId="96" applyNumberFormat="1" applyFont="1" applyFill="1" applyBorder="1" applyAlignment="1">
      <alignment vertical="center"/>
      <protection/>
    </xf>
    <xf numFmtId="199" fontId="27" fillId="0" borderId="0" xfId="0" applyNumberFormat="1" applyFont="1" applyFill="1" applyAlignment="1" applyProtection="1">
      <alignment/>
      <protection/>
    </xf>
    <xf numFmtId="199" fontId="33" fillId="54" borderId="15" xfId="96" applyNumberFormat="1" applyFont="1" applyFill="1" applyBorder="1" applyAlignment="1">
      <alignment vertical="center"/>
      <protection/>
    </xf>
    <xf numFmtId="49" fontId="27" fillId="54" borderId="15" xfId="0" applyNumberFormat="1" applyFont="1" applyFill="1" applyBorder="1" applyAlignment="1" applyProtection="1">
      <alignment horizontal="center" vertical="center"/>
      <protection/>
    </xf>
    <xf numFmtId="0" fontId="27" fillId="54" borderId="21" xfId="0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 wrapText="1"/>
    </xf>
    <xf numFmtId="0" fontId="27" fillId="54" borderId="21" xfId="0" applyFont="1" applyFill="1" applyBorder="1" applyAlignment="1">
      <alignment vertical="center" wrapText="1"/>
    </xf>
    <xf numFmtId="0" fontId="27" fillId="54" borderId="15" xfId="116" applyFont="1" applyFill="1" applyBorder="1" applyAlignment="1">
      <alignment wrapText="1"/>
      <protection/>
    </xf>
    <xf numFmtId="199" fontId="19" fillId="54" borderId="15" xfId="0" applyNumberFormat="1" applyFont="1" applyFill="1" applyBorder="1" applyAlignment="1" applyProtection="1">
      <alignment horizontal="center" vertical="center"/>
      <protection/>
    </xf>
    <xf numFmtId="199" fontId="27" fillId="54" borderId="15" xfId="0" applyNumberFormat="1" applyFont="1" applyFill="1" applyBorder="1" applyAlignment="1" applyProtection="1">
      <alignment horizontal="center" vertical="center"/>
      <protection/>
    </xf>
    <xf numFmtId="0" fontId="27" fillId="54" borderId="24" xfId="0" applyFont="1" applyFill="1" applyBorder="1" applyAlignment="1">
      <alignment vertical="center" wrapText="1"/>
    </xf>
    <xf numFmtId="0" fontId="71" fillId="54" borderId="15" xfId="0" applyFont="1" applyFill="1" applyBorder="1" applyAlignment="1">
      <alignment wrapText="1"/>
    </xf>
    <xf numFmtId="0" fontId="27" fillId="54" borderId="24" xfId="0" applyNumberFormat="1" applyFont="1" applyFill="1" applyBorder="1" applyAlignment="1">
      <alignment vertical="center" wrapText="1"/>
    </xf>
    <xf numFmtId="0" fontId="27" fillId="54" borderId="15" xfId="0" applyNumberFormat="1" applyFont="1" applyFill="1" applyBorder="1" applyAlignment="1">
      <alignment vertical="center" wrapText="1"/>
    </xf>
    <xf numFmtId="0" fontId="71" fillId="54" borderId="15" xfId="108" applyFont="1" applyFill="1" applyBorder="1" applyAlignment="1">
      <alignment wrapText="1"/>
      <protection/>
    </xf>
    <xf numFmtId="0" fontId="27" fillId="54" borderId="15" xfId="0" applyFont="1" applyFill="1" applyBorder="1" applyAlignment="1">
      <alignment vertical="center"/>
    </xf>
    <xf numFmtId="0" fontId="71" fillId="54" borderId="21" xfId="0" applyFont="1" applyFill="1" applyBorder="1" applyAlignment="1">
      <alignment vertical="center" wrapText="1"/>
    </xf>
    <xf numFmtId="199" fontId="27" fillId="54" borderId="21" xfId="0" applyNumberFormat="1" applyFont="1" applyFill="1" applyBorder="1" applyAlignment="1" applyProtection="1">
      <alignment horizontal="center" vertical="center" wrapText="1"/>
      <protection/>
    </xf>
    <xf numFmtId="199" fontId="27" fillId="54" borderId="21" xfId="0" applyNumberFormat="1" applyFont="1" applyFill="1" applyBorder="1" applyAlignment="1" applyProtection="1">
      <alignment horizontal="center" vertical="center"/>
      <protection/>
    </xf>
    <xf numFmtId="0" fontId="27" fillId="54" borderId="15" xfId="0" applyNumberFormat="1" applyFont="1" applyFill="1" applyBorder="1" applyAlignment="1" applyProtection="1">
      <alignment vertical="center"/>
      <protection/>
    </xf>
    <xf numFmtId="0" fontId="19" fillId="54" borderId="15" xfId="0" applyNumberFormat="1" applyFont="1" applyFill="1" applyBorder="1" applyAlignment="1" applyProtection="1">
      <alignment vertical="center"/>
      <protection/>
    </xf>
    <xf numFmtId="0" fontId="27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107" applyFont="1">
      <alignment/>
      <protection/>
    </xf>
    <xf numFmtId="0" fontId="0" fillId="54" borderId="0" xfId="107" applyFont="1" applyFill="1" applyAlignment="1">
      <alignment/>
      <protection/>
    </xf>
    <xf numFmtId="0" fontId="38" fillId="0" borderId="0" xfId="107" applyFont="1" applyAlignment="1">
      <alignment horizontal="center" vertical="center" wrapText="1"/>
      <protection/>
    </xf>
    <xf numFmtId="0" fontId="39" fillId="0" borderId="0" xfId="107" applyFont="1" applyAlignment="1">
      <alignment horizontal="center" vertical="center" wrapText="1"/>
      <protection/>
    </xf>
    <xf numFmtId="0" fontId="39" fillId="0" borderId="0" xfId="107" applyFont="1" applyAlignment="1">
      <alignment vertical="center" wrapText="1"/>
      <protection/>
    </xf>
    <xf numFmtId="0" fontId="39" fillId="0" borderId="15" xfId="107" applyFont="1" applyBorder="1" applyAlignment="1">
      <alignment horizontal="right"/>
      <protection/>
    </xf>
    <xf numFmtId="0" fontId="19" fillId="0" borderId="15" xfId="52" applyFont="1" applyBorder="1" applyAlignment="1">
      <alignment horizontal="right"/>
      <protection/>
    </xf>
    <xf numFmtId="0" fontId="19" fillId="0" borderId="24" xfId="52" applyFont="1" applyBorder="1" applyAlignment="1">
      <alignment horizontal="center"/>
      <protection/>
    </xf>
    <xf numFmtId="0" fontId="40" fillId="0" borderId="15" xfId="107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40" fillId="0" borderId="21" xfId="107" applyFont="1" applyBorder="1" applyAlignment="1">
      <alignment horizontal="center" vertical="center" wrapText="1"/>
      <protection/>
    </xf>
    <xf numFmtId="0" fontId="19" fillId="0" borderId="15" xfId="107" applyFont="1" applyBorder="1" applyAlignment="1">
      <alignment horizontal="center" vertical="center" wrapText="1"/>
      <protection/>
    </xf>
    <xf numFmtId="0" fontId="19" fillId="54" borderId="15" xfId="107" applyFont="1" applyFill="1" applyBorder="1" applyAlignment="1">
      <alignment horizontal="center" vertical="center" wrapText="1"/>
      <protection/>
    </xf>
    <xf numFmtId="0" fontId="39" fillId="0" borderId="15" xfId="107" applyFont="1" applyBorder="1" applyAlignment="1">
      <alignment horizontal="center" vertical="center" wrapText="1"/>
      <protection/>
    </xf>
    <xf numFmtId="0" fontId="41" fillId="0" borderId="15" xfId="107" applyFont="1" applyBorder="1" applyAlignment="1">
      <alignment horizontal="right"/>
      <protection/>
    </xf>
    <xf numFmtId="0" fontId="28" fillId="0" borderId="15" xfId="52" applyFont="1" applyBorder="1" applyAlignment="1">
      <alignment horizontal="right"/>
      <protection/>
    </xf>
    <xf numFmtId="0" fontId="28" fillId="0" borderId="24" xfId="52" applyFont="1" applyBorder="1" applyAlignment="1">
      <alignment horizontal="center"/>
      <protection/>
    </xf>
    <xf numFmtId="0" fontId="28" fillId="0" borderId="15" xfId="52" applyFont="1" applyBorder="1" applyAlignment="1">
      <alignment horizontal="right" wrapText="1"/>
      <protection/>
    </xf>
    <xf numFmtId="0" fontId="19" fillId="0" borderId="15" xfId="107" applyFont="1" applyBorder="1" applyAlignment="1">
      <alignment vertical="center" wrapText="1"/>
      <protection/>
    </xf>
    <xf numFmtId="199" fontId="19" fillId="0" borderId="15" xfId="107" applyNumberFormat="1" applyFont="1" applyBorder="1" applyAlignment="1">
      <alignment horizontal="center" vertical="center" wrapText="1"/>
      <protection/>
    </xf>
    <xf numFmtId="199" fontId="19" fillId="54" borderId="15" xfId="107" applyNumberFormat="1" applyFont="1" applyFill="1" applyBorder="1" applyAlignment="1">
      <alignment horizontal="center" vertical="center" wrapText="1"/>
      <protection/>
    </xf>
    <xf numFmtId="0" fontId="19" fillId="0" borderId="0" xfId="107" applyFont="1" applyBorder="1" applyAlignment="1">
      <alignment vertical="center" wrapText="1"/>
      <protection/>
    </xf>
    <xf numFmtId="199" fontId="19" fillId="0" borderId="0" xfId="107" applyNumberFormat="1" applyFont="1" applyBorder="1" applyAlignment="1">
      <alignment horizontal="center" vertical="center" wrapText="1"/>
      <protection/>
    </xf>
    <xf numFmtId="199" fontId="19" fillId="54" borderId="0" xfId="107" applyNumberFormat="1" applyFont="1" applyFill="1" applyBorder="1" applyAlignment="1">
      <alignment horizontal="center" vertical="center" wrapText="1"/>
      <protection/>
    </xf>
    <xf numFmtId="199" fontId="27" fillId="0" borderId="0" xfId="107" applyNumberFormat="1" applyFont="1" applyBorder="1" applyAlignment="1">
      <alignment horizontal="center" vertical="center" wrapText="1"/>
      <protection/>
    </xf>
    <xf numFmtId="0" fontId="36" fillId="0" borderId="15" xfId="107" applyFont="1" applyBorder="1" applyAlignment="1">
      <alignment horizontal="right"/>
      <protection/>
    </xf>
    <xf numFmtId="0" fontId="0" fillId="0" borderId="15" xfId="107" applyFont="1" applyBorder="1">
      <alignment/>
      <protection/>
    </xf>
    <xf numFmtId="0" fontId="27" fillId="54" borderId="0" xfId="107" applyFont="1" applyFill="1">
      <alignment/>
      <protection/>
    </xf>
    <xf numFmtId="0" fontId="26" fillId="0" borderId="0" xfId="107" applyFont="1" applyBorder="1" applyAlignment="1">
      <alignment horizontal="right"/>
      <protection/>
    </xf>
    <xf numFmtId="0" fontId="0" fillId="0" borderId="0" xfId="107" applyFont="1" applyBorder="1">
      <alignment/>
      <protection/>
    </xf>
    <xf numFmtId="2" fontId="26" fillId="0" borderId="0" xfId="107" applyNumberFormat="1" applyFont="1" applyBorder="1" applyAlignment="1">
      <alignment horizontal="right"/>
      <protection/>
    </xf>
    <xf numFmtId="2" fontId="0" fillId="0" borderId="0" xfId="107" applyNumberFormat="1" applyFont="1" applyBorder="1">
      <alignment/>
      <protection/>
    </xf>
    <xf numFmtId="2" fontId="0" fillId="0" borderId="0" xfId="107" applyNumberFormat="1" applyFont="1">
      <alignment/>
      <protection/>
    </xf>
    <xf numFmtId="0" fontId="0" fillId="54" borderId="0" xfId="107" applyFont="1" applyFill="1">
      <alignment/>
      <protection/>
    </xf>
    <xf numFmtId="0" fontId="42" fillId="0" borderId="27" xfId="107" applyFont="1" applyBorder="1" applyAlignment="1">
      <alignment horizont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54" borderId="24" xfId="107" applyFont="1" applyFill="1" applyBorder="1" applyAlignment="1">
      <alignment horizontal="center" vertical="center" wrapText="1"/>
      <protection/>
    </xf>
    <xf numFmtId="199" fontId="19" fillId="0" borderId="15" xfId="107" applyNumberFormat="1" applyFont="1" applyBorder="1" applyAlignment="1">
      <alignment horizontal="center"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72" fillId="54" borderId="15" xfId="0" applyFont="1" applyFill="1" applyBorder="1" applyAlignment="1">
      <alignment horizontal="center" vertical="center" wrapText="1"/>
    </xf>
    <xf numFmtId="49" fontId="27" fillId="54" borderId="23" xfId="0" applyNumberFormat="1" applyFont="1" applyFill="1" applyBorder="1" applyAlignment="1">
      <alignment horizontal="center" vertical="center" wrapText="1"/>
    </xf>
    <xf numFmtId="0" fontId="27" fillId="54" borderId="23" xfId="116" applyFont="1" applyFill="1" applyBorder="1" applyAlignment="1">
      <alignment vertical="center" wrapText="1"/>
      <protection/>
    </xf>
    <xf numFmtId="49" fontId="27" fillId="54" borderId="15" xfId="0" applyNumberFormat="1" applyFont="1" applyFill="1" applyBorder="1" applyAlignment="1">
      <alignment horizontal="center" vertical="center"/>
    </xf>
    <xf numFmtId="0" fontId="27" fillId="54" borderId="24" xfId="0" applyFont="1" applyFill="1" applyBorder="1" applyAlignment="1">
      <alignment horizontal="center" vertical="center" wrapText="1"/>
    </xf>
    <xf numFmtId="49" fontId="27" fillId="54" borderId="24" xfId="0" applyNumberFormat="1" applyFont="1" applyFill="1" applyBorder="1" applyAlignment="1">
      <alignment horizontal="center" vertical="center" wrapText="1"/>
    </xf>
    <xf numFmtId="49" fontId="19" fillId="54" borderId="19" xfId="0" applyNumberFormat="1" applyFont="1" applyFill="1" applyBorder="1" applyAlignment="1">
      <alignment horizontal="center" vertical="center" wrapText="1"/>
    </xf>
    <xf numFmtId="4" fontId="73" fillId="0" borderId="15" xfId="108" applyNumberFormat="1" applyFont="1" applyBorder="1" applyAlignment="1" quotePrefix="1">
      <alignment horizontal="center" vertical="center" wrapText="1"/>
      <protection/>
    </xf>
    <xf numFmtId="4" fontId="74" fillId="0" borderId="15" xfId="108" applyNumberFormat="1" applyFont="1" applyBorder="1" applyAlignment="1" quotePrefix="1">
      <alignment horizontal="center" vertical="center" wrapText="1"/>
      <protection/>
    </xf>
    <xf numFmtId="0" fontId="71" fillId="0" borderId="15" xfId="108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vertical="center" wrapText="1"/>
      <protection/>
    </xf>
    <xf numFmtId="0" fontId="43" fillId="0" borderId="0" xfId="115" applyFont="1" applyFill="1">
      <alignment/>
      <protection/>
    </xf>
    <xf numFmtId="0" fontId="43" fillId="0" borderId="22" xfId="115" applyFont="1" applyFill="1" applyBorder="1" applyAlignment="1">
      <alignment vertical="center"/>
      <protection/>
    </xf>
    <xf numFmtId="14" fontId="44" fillId="0" borderId="22" xfId="110" applyNumberFormat="1" applyFont="1" applyBorder="1" applyAlignment="1">
      <alignment vertical="center"/>
      <protection/>
    </xf>
    <xf numFmtId="0" fontId="44" fillId="0" borderId="0" xfId="111" applyFont="1" applyAlignment="1">
      <alignment vertical="center"/>
      <protection/>
    </xf>
    <xf numFmtId="0" fontId="27" fillId="54" borderId="23" xfId="0" applyFont="1" applyFill="1" applyBorder="1" applyAlignment="1">
      <alignment vertical="center" wrapText="1"/>
    </xf>
    <xf numFmtId="49" fontId="27" fillId="54" borderId="15" xfId="107" applyNumberFormat="1" applyFont="1" applyFill="1" applyBorder="1" applyAlignment="1">
      <alignment horizontal="center" vertical="center" wrapText="1"/>
      <protection/>
    </xf>
    <xf numFmtId="0" fontId="27" fillId="54" borderId="15" xfId="107" applyFont="1" applyFill="1" applyBorder="1" applyAlignment="1">
      <alignment horizontal="center" vertical="center" wrapText="1"/>
      <protection/>
    </xf>
    <xf numFmtId="0" fontId="27" fillId="54" borderId="15" xfId="107" applyFont="1" applyFill="1" applyBorder="1" applyAlignment="1">
      <alignment vertical="center" wrapText="1"/>
      <protection/>
    </xf>
    <xf numFmtId="0" fontId="27" fillId="54" borderId="15" xfId="0" applyFont="1" applyFill="1" applyBorder="1" applyAlignment="1">
      <alignment horizontal="center" vertical="center"/>
    </xf>
    <xf numFmtId="0" fontId="27" fillId="54" borderId="15" xfId="105" applyFont="1" applyFill="1" applyBorder="1" applyAlignment="1">
      <alignment vertical="center" wrapText="1"/>
      <protection/>
    </xf>
    <xf numFmtId="0" fontId="27" fillId="0" borderId="15" xfId="105" applyFont="1" applyFill="1" applyBorder="1" applyAlignment="1">
      <alignment horizontal="justify" vertical="center" wrapText="1"/>
      <protection/>
    </xf>
    <xf numFmtId="199" fontId="27" fillId="54" borderId="15" xfId="0" applyNumberFormat="1" applyFont="1" applyFill="1" applyBorder="1" applyAlignment="1">
      <alignment horizontal="center" vertical="center" wrapText="1"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19" fillId="54" borderId="0" xfId="0" applyNumberFormat="1" applyFont="1" applyFill="1" applyBorder="1" applyAlignment="1" applyProtection="1">
      <alignment vertical="center"/>
      <protection/>
    </xf>
    <xf numFmtId="199" fontId="19" fillId="54" borderId="0" xfId="0" applyNumberFormat="1" applyFont="1" applyFill="1" applyBorder="1" applyAlignment="1" applyProtection="1">
      <alignment horizontal="center" vertical="center" wrapText="1"/>
      <protection/>
    </xf>
    <xf numFmtId="199" fontId="19" fillId="54" borderId="0" xfId="0" applyNumberFormat="1" applyFont="1" applyFill="1" applyBorder="1" applyAlignment="1" applyProtection="1">
      <alignment horizontal="center" vertical="center"/>
      <protection/>
    </xf>
    <xf numFmtId="199" fontId="19" fillId="54" borderId="0" xfId="0" applyNumberFormat="1" applyFont="1" applyFill="1" applyBorder="1" applyAlignment="1" applyProtection="1">
      <alignment vertical="center"/>
      <protection/>
    </xf>
    <xf numFmtId="0" fontId="27" fillId="0" borderId="0" xfId="114" applyNumberFormat="1" applyFont="1" applyFill="1" applyBorder="1" applyAlignment="1" applyProtection="1">
      <alignment vertical="top"/>
      <protection/>
    </xf>
    <xf numFmtId="0" fontId="19" fillId="0" borderId="0" xfId="114" applyNumberFormat="1" applyFont="1" applyFill="1" applyBorder="1" applyAlignment="1" applyProtection="1">
      <alignment vertical="top"/>
      <protection/>
    </xf>
    <xf numFmtId="49" fontId="19" fillId="54" borderId="15" xfId="0" applyNumberFormat="1" applyFont="1" applyFill="1" applyBorder="1" applyAlignment="1">
      <alignment horizontal="center" vertical="center" wrapText="1"/>
    </xf>
    <xf numFmtId="199" fontId="19" fillId="55" borderId="15" xfId="0" applyNumberFormat="1" applyFont="1" applyFill="1" applyBorder="1" applyAlignment="1">
      <alignment vertical="center"/>
    </xf>
    <xf numFmtId="199" fontId="27" fillId="55" borderId="15" xfId="0" applyNumberFormat="1" applyFont="1" applyFill="1" applyBorder="1" applyAlignment="1">
      <alignment vertical="center"/>
    </xf>
    <xf numFmtId="0" fontId="27" fillId="54" borderId="23" xfId="0" applyFont="1" applyFill="1" applyBorder="1" applyAlignment="1">
      <alignment vertical="center"/>
    </xf>
    <xf numFmtId="49" fontId="19" fillId="54" borderId="15" xfId="0" applyNumberFormat="1" applyFont="1" applyFill="1" applyBorder="1" applyAlignment="1" applyProtection="1">
      <alignment horizontal="center" vertical="center"/>
      <protection/>
    </xf>
    <xf numFmtId="49" fontId="19" fillId="54" borderId="23" xfId="0" applyNumberFormat="1" applyFont="1" applyFill="1" applyBorder="1" applyAlignment="1">
      <alignment horizontal="center" vertical="center" wrapText="1"/>
    </xf>
    <xf numFmtId="0" fontId="19" fillId="54" borderId="23" xfId="0" applyFont="1" applyFill="1" applyBorder="1" applyAlignment="1">
      <alignment horizontal="center" vertical="center"/>
    </xf>
    <xf numFmtId="0" fontId="22" fillId="54" borderId="0" xfId="114" applyNumberFormat="1" applyFont="1" applyFill="1" applyBorder="1" applyAlignment="1" applyProtection="1">
      <alignment vertical="top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29" fillId="52" borderId="0" xfId="0" applyNumberFormat="1" applyFont="1" applyFill="1" applyBorder="1" applyAlignment="1" applyProtection="1">
      <alignment horizontal="left" vertical="center" wrapText="1"/>
      <protection/>
    </xf>
    <xf numFmtId="197" fontId="29" fillId="52" borderId="0" xfId="0" applyNumberFormat="1" applyFont="1" applyFill="1" applyBorder="1" applyAlignment="1" applyProtection="1">
      <alignment horizontal="left" vertical="center" wrapText="1"/>
      <protection/>
    </xf>
    <xf numFmtId="196" fontId="27" fillId="0" borderId="15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49" fontId="27" fillId="52" borderId="15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199" fontId="19" fillId="0" borderId="15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Font="1" applyBorder="1" applyAlignment="1">
      <alignment horizontal="center" wrapText="1"/>
    </xf>
    <xf numFmtId="0" fontId="27" fillId="0" borderId="15" xfId="0" applyFont="1" applyBorder="1" applyAlignment="1">
      <alignment horizontal="left" wrapText="1"/>
    </xf>
    <xf numFmtId="0" fontId="27" fillId="0" borderId="15" xfId="0" applyNumberFormat="1" applyFont="1" applyFill="1" applyBorder="1" applyAlignment="1" applyProtection="1">
      <alignment horizontal="left" wrapText="1"/>
      <protection/>
    </xf>
    <xf numFmtId="49" fontId="27" fillId="52" borderId="15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49" fontId="27" fillId="52" borderId="15" xfId="0" applyNumberFormat="1" applyFont="1" applyFill="1" applyBorder="1" applyAlignment="1" applyProtection="1">
      <alignment/>
      <protection/>
    </xf>
    <xf numFmtId="0" fontId="19" fillId="0" borderId="15" xfId="0" applyFont="1" applyBorder="1" applyAlignment="1">
      <alignment horizontal="center" wrapText="1"/>
    </xf>
    <xf numFmtId="0" fontId="27" fillId="52" borderId="15" xfId="0" applyFont="1" applyFill="1" applyBorder="1" applyAlignment="1">
      <alignment wrapText="1"/>
    </xf>
    <xf numFmtId="49" fontId="27" fillId="52" borderId="0" xfId="0" applyNumberFormat="1" applyFont="1" applyFill="1" applyBorder="1" applyAlignment="1">
      <alignment horizontal="center" wrapText="1"/>
    </xf>
    <xf numFmtId="49" fontId="27" fillId="52" borderId="19" xfId="0" applyNumberFormat="1" applyFont="1" applyFill="1" applyBorder="1" applyAlignment="1">
      <alignment horizont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49" fontId="19" fillId="52" borderId="15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5" fillId="0" borderId="0" xfId="0" applyNumberFormat="1" applyFont="1" applyFill="1" applyBorder="1" applyAlignment="1" applyProtection="1">
      <alignment horizontal="center" vertical="top"/>
      <protection/>
    </xf>
    <xf numFmtId="0" fontId="0" fillId="0" borderId="22" xfId="0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199" fontId="19" fillId="54" borderId="15" xfId="96" applyNumberFormat="1" applyFont="1" applyFill="1" applyBorder="1" applyAlignment="1">
      <alignment vertical="center"/>
      <protection/>
    </xf>
    <xf numFmtId="0" fontId="19" fillId="0" borderId="0" xfId="105" applyFont="1" applyAlignment="1">
      <alignment horizontal="center" vertical="top" wrapText="1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7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0" fontId="19" fillId="0" borderId="15" xfId="105" applyFont="1" applyBorder="1" applyAlignment="1">
      <alignment horizontal="left" vertical="top" wrapText="1"/>
      <protection/>
    </xf>
    <xf numFmtId="49" fontId="19" fillId="0" borderId="15" xfId="105" applyNumberFormat="1" applyFont="1" applyFill="1" applyBorder="1" applyAlignment="1">
      <alignment horizontal="center" vertical="top"/>
      <protection/>
    </xf>
    <xf numFmtId="0" fontId="27" fillId="0" borderId="15" xfId="105" applyFont="1" applyBorder="1" applyAlignment="1">
      <alignment horizontal="center" vertical="top" wrapText="1"/>
      <protection/>
    </xf>
    <xf numFmtId="49" fontId="27" fillId="0" borderId="15" xfId="105" applyNumberFormat="1" applyFont="1" applyFill="1" applyBorder="1" applyAlignment="1">
      <alignment horizontal="center" vertical="top"/>
      <protection/>
    </xf>
    <xf numFmtId="0" fontId="0" fillId="0" borderId="22" xfId="0" applyNumberFormat="1" applyFont="1" applyFill="1" applyBorder="1" applyAlignment="1" applyProtection="1">
      <alignment vertical="top" wrapText="1"/>
      <protection/>
    </xf>
    <xf numFmtId="0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71" fillId="54" borderId="15" xfId="108" applyFont="1" applyFill="1" applyBorder="1" applyAlignment="1" quotePrefix="1">
      <alignment horizontal="center" vertical="center" wrapText="1"/>
      <protection/>
    </xf>
    <xf numFmtId="4" fontId="73" fillId="54" borderId="15" xfId="108" applyNumberFormat="1" applyFont="1" applyFill="1" applyBorder="1" applyAlignment="1" quotePrefix="1">
      <alignment horizontal="center" vertical="center" wrapText="1"/>
      <protection/>
    </xf>
    <xf numFmtId="197" fontId="27" fillId="52" borderId="0" xfId="0" applyNumberFormat="1" applyFont="1" applyFill="1" applyBorder="1" applyAlignment="1" applyProtection="1">
      <alignment vertical="center" wrapText="1"/>
      <protection/>
    </xf>
    <xf numFmtId="49" fontId="19" fillId="54" borderId="0" xfId="0" applyNumberFormat="1" applyFont="1" applyFill="1" applyBorder="1" applyAlignment="1" applyProtection="1">
      <alignment horizontal="center" vertical="center"/>
      <protection/>
    </xf>
    <xf numFmtId="49" fontId="19" fillId="54" borderId="0" xfId="0" applyNumberFormat="1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/>
    </xf>
    <xf numFmtId="199" fontId="19" fillId="54" borderId="0" xfId="96" applyNumberFormat="1" applyFont="1" applyFill="1" applyBorder="1" applyAlignment="1">
      <alignment vertical="center"/>
      <protection/>
    </xf>
    <xf numFmtId="199" fontId="32" fillId="54" borderId="0" xfId="96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0" borderId="0" xfId="107" applyFont="1" applyBorder="1" applyAlignment="1">
      <alignment vertical="center" wrapText="1"/>
      <protection/>
    </xf>
    <xf numFmtId="14" fontId="44" fillId="0" borderId="0" xfId="110" applyNumberFormat="1" applyFont="1" applyBorder="1" applyAlignment="1">
      <alignment vertical="center"/>
      <protection/>
    </xf>
    <xf numFmtId="0" fontId="43" fillId="0" borderId="0" xfId="115" applyFont="1" applyFill="1" applyBorder="1" applyAlignment="1">
      <alignment vertical="center"/>
      <protection/>
    </xf>
    <xf numFmtId="49" fontId="27" fillId="0" borderId="15" xfId="107" applyNumberFormat="1" applyFont="1" applyFill="1" applyBorder="1" applyAlignment="1" applyProtection="1">
      <alignment horizontal="center" vertical="center"/>
      <protection/>
    </xf>
    <xf numFmtId="0" fontId="19" fillId="0" borderId="0" xfId="107" applyFont="1" applyBorder="1" applyAlignment="1">
      <alignment horizontal="center" vertical="center" wrapText="1"/>
      <protection/>
    </xf>
    <xf numFmtId="0" fontId="27" fillId="0" borderId="0" xfId="107" applyFont="1" applyAlignment="1">
      <alignment horizontal="center"/>
      <protection/>
    </xf>
    <xf numFmtId="199" fontId="39" fillId="0" borderId="21" xfId="107" applyNumberFormat="1" applyFont="1" applyBorder="1" applyAlignment="1">
      <alignment horizontal="center" vertical="center" wrapText="1"/>
      <protection/>
    </xf>
    <xf numFmtId="0" fontId="27" fillId="0" borderId="0" xfId="107" applyFont="1" applyAlignment="1">
      <alignment vertical="center"/>
      <protection/>
    </xf>
    <xf numFmtId="199" fontId="39" fillId="0" borderId="0" xfId="107" applyNumberFormat="1" applyFont="1" applyBorder="1" applyAlignment="1">
      <alignment horizontal="center" vertical="center" wrapText="1"/>
      <protection/>
    </xf>
    <xf numFmtId="199" fontId="19" fillId="0" borderId="0" xfId="107" applyNumberFormat="1" applyFont="1" applyBorder="1" applyAlignment="1">
      <alignment horizontal="center" vertical="center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>
      <alignment/>
    </xf>
    <xf numFmtId="49" fontId="27" fillId="52" borderId="19" xfId="0" applyNumberFormat="1" applyFont="1" applyFill="1" applyBorder="1" applyAlignment="1" applyProtection="1">
      <alignment vertical="center"/>
      <protection/>
    </xf>
    <xf numFmtId="49" fontId="27" fillId="0" borderId="28" xfId="0" applyNumberFormat="1" applyFont="1" applyBorder="1" applyAlignment="1">
      <alignment horizontal="center" vertical="center" wrapText="1"/>
    </xf>
    <xf numFmtId="49" fontId="27" fillId="52" borderId="19" xfId="0" applyNumberFormat="1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horizontal="left" vertical="center" wrapText="1"/>
    </xf>
    <xf numFmtId="199" fontId="27" fillId="0" borderId="19" xfId="0" applyNumberFormat="1" applyFont="1" applyBorder="1" applyAlignment="1">
      <alignment horizontal="center" vertical="center" wrapText="1"/>
    </xf>
    <xf numFmtId="198" fontId="27" fillId="0" borderId="0" xfId="105" applyNumberFormat="1" applyFont="1" applyFill="1" applyBorder="1">
      <alignment/>
      <protection/>
    </xf>
    <xf numFmtId="198" fontId="27" fillId="0" borderId="0" xfId="105" applyNumberFormat="1" applyFont="1" applyBorder="1">
      <alignment/>
      <protection/>
    </xf>
    <xf numFmtId="0" fontId="22" fillId="54" borderId="0" xfId="114" applyNumberFormat="1" applyFont="1" applyFill="1" applyBorder="1" applyAlignment="1" applyProtection="1">
      <alignment vertical="top"/>
      <protection/>
    </xf>
    <xf numFmtId="0" fontId="27" fillId="54" borderId="0" xfId="105" applyFont="1" applyFill="1" applyBorder="1">
      <alignment/>
      <protection/>
    </xf>
    <xf numFmtId="0" fontId="40" fillId="54" borderId="21" xfId="107" applyFont="1" applyFill="1" applyBorder="1" applyAlignment="1">
      <alignment horizontal="left" vertical="center" wrapText="1"/>
      <protection/>
    </xf>
    <xf numFmtId="0" fontId="27" fillId="54" borderId="15" xfId="109" applyFont="1" applyFill="1" applyBorder="1" applyAlignment="1">
      <alignment vertical="center" wrapText="1"/>
      <protection/>
    </xf>
    <xf numFmtId="0" fontId="19" fillId="54" borderId="24" xfId="107" applyFont="1" applyFill="1" applyBorder="1" applyAlignment="1">
      <alignment horizontal="center" vertical="center" wrapText="1"/>
      <protection/>
    </xf>
    <xf numFmtId="4" fontId="71" fillId="0" borderId="15" xfId="108" applyNumberFormat="1" applyFont="1" applyFill="1" applyBorder="1" applyAlignment="1" quotePrefix="1">
      <alignment vertical="center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0" borderId="15" xfId="105" applyFont="1" applyBorder="1" applyAlignment="1">
      <alignment horizontal="left" vertical="center" wrapText="1"/>
      <protection/>
    </xf>
    <xf numFmtId="49" fontId="27" fillId="0" borderId="15" xfId="105" applyNumberFormat="1" applyFont="1" applyFill="1" applyBorder="1" applyAlignment="1">
      <alignment horizontal="center" vertical="center"/>
      <protection/>
    </xf>
    <xf numFmtId="49" fontId="27" fillId="54" borderId="15" xfId="0" applyNumberFormat="1" applyFont="1" applyFill="1" applyBorder="1" applyAlignment="1" applyProtection="1">
      <alignment horizontal="center" vertical="center"/>
      <protection/>
    </xf>
    <xf numFmtId="199" fontId="33" fillId="54" borderId="15" xfId="96" applyNumberFormat="1" applyFont="1" applyFill="1" applyBorder="1" applyAlignment="1">
      <alignment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71" fillId="54" borderId="0" xfId="108" applyFont="1" applyFill="1" applyBorder="1" applyAlignment="1">
      <alignment wrapText="1"/>
      <protection/>
    </xf>
    <xf numFmtId="4" fontId="71" fillId="0" borderId="23" xfId="108" applyNumberFormat="1" applyFont="1" applyBorder="1" applyAlignment="1" quotePrefix="1">
      <alignment vertical="center" wrapText="1"/>
      <protection/>
    </xf>
    <xf numFmtId="0" fontId="27" fillId="54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199" fontId="27" fillId="54" borderId="15" xfId="0" applyNumberFormat="1" applyFont="1" applyFill="1" applyBorder="1" applyAlignment="1">
      <alignment horizontal="center" wrapText="1"/>
    </xf>
    <xf numFmtId="196" fontId="27" fillId="0" borderId="15" xfId="0" applyNumberFormat="1" applyFont="1" applyBorder="1" applyAlignment="1">
      <alignment horizontal="center" wrapText="1"/>
    </xf>
    <xf numFmtId="199" fontId="19" fillId="0" borderId="15" xfId="0" applyNumberFormat="1" applyFont="1" applyBorder="1" applyAlignment="1">
      <alignment horizontal="center" wrapText="1"/>
    </xf>
    <xf numFmtId="0" fontId="27" fillId="0" borderId="15" xfId="0" applyFont="1" applyFill="1" applyBorder="1" applyAlignment="1">
      <alignment horizontal="left" wrapText="1"/>
    </xf>
    <xf numFmtId="199" fontId="32" fillId="54" borderId="15" xfId="0" applyNumberFormat="1" applyFont="1" applyFill="1" applyBorder="1" applyAlignment="1">
      <alignment horizontal="center"/>
    </xf>
    <xf numFmtId="49" fontId="27" fillId="52" borderId="15" xfId="0" applyNumberFormat="1" applyFont="1" applyFill="1" applyBorder="1" applyAlignment="1" applyProtection="1">
      <alignment horizontal="left"/>
      <protection/>
    </xf>
    <xf numFmtId="49" fontId="27" fillId="52" borderId="15" xfId="0" applyNumberFormat="1" applyFont="1" applyFill="1" applyBorder="1" applyAlignment="1">
      <alignment horizontal="left" wrapText="1"/>
    </xf>
    <xf numFmtId="0" fontId="27" fillId="52" borderId="15" xfId="0" applyFont="1" applyFill="1" applyBorder="1" applyAlignment="1">
      <alignment horizontal="left" wrapText="1"/>
    </xf>
    <xf numFmtId="49" fontId="27" fillId="54" borderId="15" xfId="0" applyNumberFormat="1" applyFont="1" applyFill="1" applyBorder="1" applyAlignment="1">
      <alignment horizontal="left" wrapText="1"/>
    </xf>
    <xf numFmtId="195" fontId="32" fillId="54" borderId="15" xfId="0" applyNumberFormat="1" applyFont="1" applyFill="1" applyBorder="1" applyAlignment="1">
      <alignment horizontal="left"/>
    </xf>
    <xf numFmtId="49" fontId="32" fillId="54" borderId="15" xfId="113" applyNumberFormat="1" applyFont="1" applyFill="1" applyBorder="1" applyAlignment="1">
      <alignment horizontal="left" wrapText="1"/>
      <protection/>
    </xf>
    <xf numFmtId="49" fontId="19" fillId="54" borderId="15" xfId="113" applyNumberFormat="1" applyFont="1" applyFill="1" applyBorder="1" applyAlignment="1">
      <alignment horizontal="left" wrapText="1"/>
      <protection/>
    </xf>
    <xf numFmtId="0" fontId="19" fillId="54" borderId="15" xfId="115" applyFont="1" applyFill="1" applyBorder="1" applyAlignment="1">
      <alignment horizontal="center" wrapText="1"/>
      <protection/>
    </xf>
    <xf numFmtId="199" fontId="0" fillId="0" borderId="0" xfId="0" applyNumberFormat="1" applyFont="1" applyFill="1" applyAlignment="1">
      <alignment/>
    </xf>
    <xf numFmtId="199" fontId="0" fillId="0" borderId="0" xfId="0" applyNumberFormat="1" applyFont="1" applyFill="1" applyAlignment="1" applyProtection="1">
      <alignment/>
      <protection/>
    </xf>
    <xf numFmtId="0" fontId="27" fillId="0" borderId="15" xfId="114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left" vertical="center" wrapText="1"/>
    </xf>
    <xf numFmtId="199" fontId="19" fillId="54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99" fontId="27" fillId="54" borderId="0" xfId="0" applyNumberFormat="1" applyFont="1" applyFill="1" applyBorder="1" applyAlignment="1" applyProtection="1">
      <alignment horizontal="center"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199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107" applyFont="1" applyBorder="1" applyAlignment="1">
      <alignment horizontal="center" vertical="center" wrapText="1"/>
      <protection/>
    </xf>
    <xf numFmtId="0" fontId="27" fillId="54" borderId="15" xfId="0" applyNumberFormat="1" applyFont="1" applyFill="1" applyBorder="1" applyAlignment="1">
      <alignment horizontal="center" vertical="center" wrapText="1"/>
    </xf>
    <xf numFmtId="0" fontId="0" fillId="54" borderId="0" xfId="0" applyFont="1" applyFill="1" applyAlignment="1">
      <alignment/>
    </xf>
    <xf numFmtId="199" fontId="27" fillId="54" borderId="15" xfId="0" applyNumberFormat="1" applyFont="1" applyFill="1" applyBorder="1" applyAlignment="1">
      <alignment wrapText="1"/>
    </xf>
    <xf numFmtId="0" fontId="27" fillId="0" borderId="15" xfId="0" applyFont="1" applyFill="1" applyBorder="1" applyAlignment="1">
      <alignment/>
    </xf>
    <xf numFmtId="197" fontId="27" fillId="54" borderId="15" xfId="0" applyNumberFormat="1" applyFont="1" applyFill="1" applyBorder="1" applyAlignment="1">
      <alignment/>
    </xf>
    <xf numFmtId="49" fontId="33" fillId="54" borderId="15" xfId="113" applyNumberFormat="1" applyFont="1" applyFill="1" applyBorder="1" applyAlignment="1">
      <alignment wrapText="1"/>
      <protection/>
    </xf>
    <xf numFmtId="49" fontId="27" fillId="54" borderId="15" xfId="113" applyNumberFormat="1" applyFont="1" applyFill="1" applyBorder="1" applyAlignment="1">
      <alignment wrapText="1"/>
      <protection/>
    </xf>
    <xf numFmtId="0" fontId="27" fillId="54" borderId="15" xfId="115" applyFont="1" applyFill="1" applyBorder="1" applyAlignment="1">
      <alignment/>
      <protection/>
    </xf>
    <xf numFmtId="199" fontId="33" fillId="54" borderId="15" xfId="113" applyNumberFormat="1" applyFont="1" applyFill="1" applyBorder="1" applyAlignment="1">
      <alignment wrapText="1"/>
      <protection/>
    </xf>
    <xf numFmtId="196" fontId="27" fillId="0" borderId="15" xfId="0" applyNumberFormat="1" applyFont="1" applyBorder="1" applyAlignment="1">
      <alignment wrapText="1"/>
    </xf>
    <xf numFmtId="197" fontId="27" fillId="54" borderId="15" xfId="113" applyNumberFormat="1" applyFont="1" applyFill="1" applyBorder="1" applyAlignment="1">
      <alignment wrapText="1"/>
      <protection/>
    </xf>
    <xf numFmtId="199" fontId="40" fillId="0" borderId="21" xfId="107" applyNumberFormat="1" applyFont="1" applyBorder="1" applyAlignment="1">
      <alignment wrapText="1"/>
      <protection/>
    </xf>
    <xf numFmtId="49" fontId="27" fillId="54" borderId="15" xfId="113" applyNumberFormat="1" applyFont="1" applyFill="1" applyBorder="1" applyAlignment="1">
      <alignment horizontal="right" wrapText="1"/>
      <protection/>
    </xf>
    <xf numFmtId="49" fontId="33" fillId="54" borderId="15" xfId="113" applyNumberFormat="1" applyFont="1" applyFill="1" applyBorder="1" applyAlignment="1">
      <alignment horizontal="right" wrapText="1"/>
      <protection/>
    </xf>
    <xf numFmtId="0" fontId="27" fillId="0" borderId="15" xfId="0" applyFont="1" applyFill="1" applyBorder="1" applyAlignment="1">
      <alignment horizontal="right"/>
    </xf>
    <xf numFmtId="199" fontId="27" fillId="54" borderId="15" xfId="0" applyNumberFormat="1" applyFont="1" applyFill="1" applyBorder="1" applyAlignment="1">
      <alignment horizontal="right" wrapText="1"/>
    </xf>
    <xf numFmtId="196" fontId="27" fillId="0" borderId="15" xfId="0" applyNumberFormat="1" applyFont="1" applyBorder="1" applyAlignment="1">
      <alignment horizontal="right" wrapText="1"/>
    </xf>
    <xf numFmtId="0" fontId="27" fillId="0" borderId="15" xfId="0" applyFont="1" applyBorder="1" applyAlignment="1">
      <alignment horizontal="right" wrapText="1"/>
    </xf>
    <xf numFmtId="199" fontId="27" fillId="0" borderId="15" xfId="96" applyNumberFormat="1" applyFont="1" applyFill="1" applyBorder="1" applyAlignment="1">
      <alignment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54" borderId="1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27" fillId="54" borderId="15" xfId="11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27" fillId="54" borderId="15" xfId="115" applyFont="1" applyFill="1" applyBorder="1" applyAlignment="1">
      <alignment horizontal="left" vertical="center" wrapText="1"/>
      <protection/>
    </xf>
    <xf numFmtId="0" fontId="27" fillId="54" borderId="15" xfId="115" applyFont="1" applyFill="1" applyBorder="1" applyAlignment="1">
      <alignment horizontal="right"/>
      <protection/>
    </xf>
    <xf numFmtId="199" fontId="33" fillId="54" borderId="15" xfId="113" applyNumberFormat="1" applyFont="1" applyFill="1" applyBorder="1" applyAlignment="1">
      <alignment horizontal="right" wrapText="1"/>
      <protection/>
    </xf>
    <xf numFmtId="49" fontId="27" fillId="54" borderId="24" xfId="0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75" fillId="0" borderId="15" xfId="0" applyFont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198" fontId="28" fillId="0" borderId="15" xfId="105" applyNumberFormat="1" applyFont="1" applyBorder="1" applyAlignment="1">
      <alignment horizontal="center" vertical="center"/>
      <protection/>
    </xf>
    <xf numFmtId="198" fontId="74" fillId="0" borderId="15" xfId="105" applyNumberFormat="1" applyFont="1" applyBorder="1" applyAlignment="1">
      <alignment horizontal="center" vertical="center"/>
      <protection/>
    </xf>
    <xf numFmtId="198" fontId="29" fillId="0" borderId="15" xfId="105" applyNumberFormat="1" applyFont="1" applyBorder="1" applyAlignment="1">
      <alignment horizontal="center" vertical="center"/>
      <protection/>
    </xf>
    <xf numFmtId="198" fontId="76" fillId="0" borderId="15" xfId="105" applyNumberFormat="1" applyFont="1" applyBorder="1" applyAlignment="1">
      <alignment horizontal="center" vertical="center"/>
      <protection/>
    </xf>
    <xf numFmtId="198" fontId="29" fillId="0" borderId="15" xfId="105" applyNumberFormat="1" applyFont="1" applyBorder="1" applyAlignment="1">
      <alignment horizontal="center" vertical="center" wrapText="1"/>
      <protection/>
    </xf>
    <xf numFmtId="49" fontId="19" fillId="0" borderId="15" xfId="0" applyNumberFormat="1" applyFont="1" applyBorder="1" applyAlignment="1">
      <alignment horizontal="center" vertical="center" wrapText="1"/>
    </xf>
    <xf numFmtId="199" fontId="19" fillId="54" borderId="15" xfId="0" applyNumberFormat="1" applyFont="1" applyFill="1" applyBorder="1" applyAlignment="1">
      <alignment horizontal="center" wrapText="1"/>
    </xf>
    <xf numFmtId="0" fontId="27" fillId="54" borderId="0" xfId="0" applyFont="1" applyFill="1" applyBorder="1" applyAlignment="1">
      <alignment horizontal="center" vertical="center" wrapText="1"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0" fillId="52" borderId="0" xfId="0" applyNumberFormat="1" applyFont="1" applyFill="1" applyBorder="1" applyAlignment="1" applyProtection="1">
      <alignment/>
      <protection/>
    </xf>
    <xf numFmtId="0" fontId="71" fillId="54" borderId="15" xfId="0" applyFont="1" applyFill="1" applyBorder="1" applyAlignment="1">
      <alignment horizontal="center" vertical="center" wrapText="1"/>
    </xf>
    <xf numFmtId="196" fontId="27" fillId="0" borderId="15" xfId="0" applyNumberFormat="1" applyFont="1" applyFill="1" applyBorder="1" applyAlignment="1">
      <alignment/>
    </xf>
    <xf numFmtId="199" fontId="27" fillId="54" borderId="15" xfId="113" applyNumberFormat="1" applyFont="1" applyFill="1" applyBorder="1" applyAlignment="1">
      <alignment horizontal="right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54" borderId="15" xfId="0" applyFont="1" applyFill="1" applyBorder="1" applyAlignment="1">
      <alignment wrapText="1"/>
    </xf>
    <xf numFmtId="199" fontId="40" fillId="54" borderId="21" xfId="107" applyNumberFormat="1" applyFont="1" applyFill="1" applyBorder="1" applyAlignment="1">
      <alignment wrapText="1"/>
      <protection/>
    </xf>
    <xf numFmtId="196" fontId="27" fillId="54" borderId="15" xfId="0" applyNumberFormat="1" applyFont="1" applyFill="1" applyBorder="1" applyAlignment="1">
      <alignment wrapText="1"/>
    </xf>
    <xf numFmtId="199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27" fillId="0" borderId="0" xfId="107" applyFont="1" applyAlignment="1">
      <alignment horizontal="center" vertical="center"/>
      <protection/>
    </xf>
    <xf numFmtId="0" fontId="71" fillId="0" borderId="15" xfId="0" applyFont="1" applyFill="1" applyBorder="1" applyAlignment="1">
      <alignment vertical="center" wrapText="1"/>
    </xf>
    <xf numFmtId="0" fontId="27" fillId="0" borderId="19" xfId="107" applyFont="1" applyBorder="1" applyAlignment="1">
      <alignment horizontal="center" vertical="center" wrapText="1"/>
      <protection/>
    </xf>
    <xf numFmtId="0" fontId="27" fillId="0" borderId="21" xfId="107" applyFont="1" applyBorder="1" applyAlignment="1">
      <alignment horizontal="center" vertical="center" wrapText="1"/>
      <protection/>
    </xf>
    <xf numFmtId="197" fontId="19" fillId="0" borderId="15" xfId="107" applyNumberFormat="1" applyFont="1" applyBorder="1" applyAlignment="1">
      <alignment horizontal="center" vertical="center" wrapText="1"/>
      <protection/>
    </xf>
    <xf numFmtId="197" fontId="27" fillId="0" borderId="15" xfId="107" applyNumberFormat="1" applyFont="1" applyBorder="1" applyAlignment="1">
      <alignment horizontal="center" vertical="center" wrapText="1"/>
      <protection/>
    </xf>
    <xf numFmtId="197" fontId="27" fillId="54" borderId="15" xfId="0" applyNumberFormat="1" applyFont="1" applyFill="1" applyBorder="1" applyAlignment="1" applyProtection="1">
      <alignment horizontal="center" vertical="center"/>
      <protection/>
    </xf>
    <xf numFmtId="197" fontId="19" fillId="54" borderId="15" xfId="107" applyNumberFormat="1" applyFont="1" applyFill="1" applyBorder="1" applyAlignment="1">
      <alignment horizontal="center" vertical="center" wrapText="1"/>
      <protection/>
    </xf>
    <xf numFmtId="197" fontId="19" fillId="0" borderId="21" xfId="107" applyNumberFormat="1" applyFont="1" applyBorder="1" applyAlignment="1">
      <alignment horizontal="center" vertical="center" wrapText="1"/>
      <protection/>
    </xf>
    <xf numFmtId="197" fontId="40" fillId="0" borderId="21" xfId="107" applyNumberFormat="1" applyFont="1" applyBorder="1" applyAlignment="1">
      <alignment horizontal="center" vertical="center" wrapText="1"/>
      <protection/>
    </xf>
    <xf numFmtId="197" fontId="39" fillId="0" borderId="21" xfId="107" applyNumberFormat="1" applyFont="1" applyBorder="1" applyAlignment="1">
      <alignment horizontal="center" vertical="center" wrapText="1"/>
      <protection/>
    </xf>
    <xf numFmtId="197" fontId="40" fillId="0" borderId="15" xfId="107" applyNumberFormat="1" applyFont="1" applyBorder="1" applyAlignment="1">
      <alignment horizontal="center" vertical="center" wrapText="1"/>
      <protection/>
    </xf>
    <xf numFmtId="197" fontId="40" fillId="54" borderId="15" xfId="107" applyNumberFormat="1" applyFont="1" applyFill="1" applyBorder="1" applyAlignment="1">
      <alignment horizontal="center" vertical="center" wrapText="1"/>
      <protection/>
    </xf>
    <xf numFmtId="197" fontId="27" fillId="52" borderId="15" xfId="107" applyNumberFormat="1" applyFont="1" applyFill="1" applyBorder="1" applyAlignment="1">
      <alignment horizontal="center" vertical="center" wrapText="1"/>
      <protection/>
    </xf>
    <xf numFmtId="197" fontId="27" fillId="52" borderId="21" xfId="107" applyNumberFormat="1" applyFont="1" applyFill="1" applyBorder="1" applyAlignment="1">
      <alignment horizontal="center" vertical="center" wrapText="1"/>
      <protection/>
    </xf>
    <xf numFmtId="197" fontId="27" fillId="54" borderId="15" xfId="109" applyNumberFormat="1" applyFont="1" applyFill="1" applyBorder="1" applyAlignment="1">
      <alignment horizontal="center" vertical="center" wrapText="1"/>
      <protection/>
    </xf>
    <xf numFmtId="197" fontId="27" fillId="0" borderId="15" xfId="109" applyNumberFormat="1" applyFont="1" applyBorder="1" applyAlignment="1">
      <alignment horizontal="center" vertical="center" wrapText="1"/>
      <protection/>
    </xf>
    <xf numFmtId="197" fontId="27" fillId="0" borderId="21" xfId="109" applyNumberFormat="1" applyFont="1" applyBorder="1" applyAlignment="1">
      <alignment horizontal="center" vertical="center" wrapText="1"/>
      <protection/>
    </xf>
    <xf numFmtId="197" fontId="39" fillId="0" borderId="15" xfId="107" applyNumberFormat="1" applyFont="1" applyBorder="1" applyAlignment="1">
      <alignment horizontal="center" vertical="center" wrapText="1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Alignment="1" applyProtection="1">
      <alignment vertical="top" wrapText="1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199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45" fillId="0" borderId="0" xfId="0" applyNumberFormat="1" applyFont="1" applyFill="1" applyAlignment="1" applyProtection="1">
      <alignment horizontal="center" vertical="center"/>
      <protection/>
    </xf>
    <xf numFmtId="0" fontId="27" fillId="54" borderId="17" xfId="0" applyFont="1" applyFill="1" applyBorder="1" applyAlignment="1">
      <alignment horizontal="center" vertical="center" wrapText="1"/>
    </xf>
    <xf numFmtId="0" fontId="27" fillId="54" borderId="0" xfId="0" applyFont="1" applyFill="1" applyBorder="1" applyAlignment="1">
      <alignment horizontal="center" vertical="center" wrapText="1"/>
    </xf>
    <xf numFmtId="0" fontId="27" fillId="54" borderId="29" xfId="0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107" applyAlignment="1">
      <alignment/>
      <protection/>
    </xf>
    <xf numFmtId="0" fontId="0" fillId="0" borderId="0" xfId="0" applyAlignment="1">
      <alignment/>
    </xf>
    <xf numFmtId="0" fontId="27" fillId="0" borderId="0" xfId="10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7" fillId="0" borderId="19" xfId="105" applyFont="1" applyFill="1" applyBorder="1" applyAlignment="1">
      <alignment horizontal="center" vertical="center" wrapText="1"/>
      <protection/>
    </xf>
    <xf numFmtId="0" fontId="27" fillId="0" borderId="21" xfId="105" applyFont="1" applyFill="1" applyBorder="1" applyAlignment="1">
      <alignment horizontal="center" vertical="center" wrapText="1"/>
      <protection/>
    </xf>
    <xf numFmtId="0" fontId="26" fillId="0" borderId="0" xfId="105" applyFont="1" applyAlignment="1">
      <alignment horizontal="center"/>
      <protection/>
    </xf>
    <xf numFmtId="0" fontId="45" fillId="0" borderId="0" xfId="105" applyFont="1" applyAlignment="1">
      <alignment horizontal="center" vertical="top" wrapText="1"/>
      <protection/>
    </xf>
    <xf numFmtId="0" fontId="27" fillId="0" borderId="16" xfId="105" applyFont="1" applyBorder="1" applyAlignment="1">
      <alignment horizontal="center" vertical="center" wrapText="1"/>
      <protection/>
    </xf>
    <xf numFmtId="0" fontId="27" fillId="0" borderId="18" xfId="105" applyFont="1" applyBorder="1" applyAlignment="1">
      <alignment horizontal="center" vertical="center" wrapText="1"/>
      <protection/>
    </xf>
    <xf numFmtId="0" fontId="27" fillId="0" borderId="15" xfId="105" applyFont="1" applyBorder="1" applyAlignment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27" fillId="5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left" vertical="top"/>
    </xf>
    <xf numFmtId="0" fontId="45" fillId="0" borderId="0" xfId="0" applyNumberFormat="1" applyFont="1" applyFill="1" applyAlignment="1" applyProtection="1">
      <alignment horizontal="center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27" fillId="52" borderId="19" xfId="0" applyNumberFormat="1" applyFont="1" applyFill="1" applyBorder="1" applyAlignment="1" applyProtection="1">
      <alignment horizontal="center" vertical="center" wrapText="1"/>
      <protection/>
    </xf>
    <xf numFmtId="0" fontId="27" fillId="54" borderId="20" xfId="0" applyNumberFormat="1" applyFont="1" applyFill="1" applyBorder="1" applyAlignment="1" applyProtection="1">
      <alignment horizontal="center" vertical="center" wrapText="1"/>
      <protection/>
    </xf>
    <xf numFmtId="0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NumberFormat="1" applyFont="1" applyFill="1" applyBorder="1" applyAlignment="1" applyProtection="1">
      <alignment horizontal="left" vertical="center" wrapText="1"/>
      <protection/>
    </xf>
    <xf numFmtId="197" fontId="27" fillId="52" borderId="0" xfId="0" applyNumberFormat="1" applyFont="1" applyFill="1" applyBorder="1" applyAlignment="1" applyProtection="1">
      <alignment horizontal="left" vertical="center" wrapText="1"/>
      <protection/>
    </xf>
    <xf numFmtId="197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107" applyFont="1" applyBorder="1" applyAlignment="1">
      <alignment horizontal="center" vertical="center" wrapText="1"/>
      <protection/>
    </xf>
    <xf numFmtId="0" fontId="40" fillId="0" borderId="25" xfId="107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40" fillId="0" borderId="19" xfId="107" applyFont="1" applyBorder="1" applyAlignment="1">
      <alignment horizontal="center" vertical="center" wrapText="1"/>
      <protection/>
    </xf>
    <xf numFmtId="0" fontId="40" fillId="0" borderId="20" xfId="107" applyFont="1" applyBorder="1" applyAlignment="1">
      <alignment horizontal="center" vertical="center" wrapText="1"/>
      <protection/>
    </xf>
    <xf numFmtId="0" fontId="40" fillId="0" borderId="21" xfId="107" applyFont="1" applyBorder="1" applyAlignment="1">
      <alignment horizontal="center" vertical="center" wrapText="1"/>
      <protection/>
    </xf>
    <xf numFmtId="0" fontId="27" fillId="54" borderId="0" xfId="107" applyFont="1" applyFill="1" applyAlignment="1">
      <alignment horizontal="left" wrapText="1"/>
      <protection/>
    </xf>
    <xf numFmtId="0" fontId="0" fillId="54" borderId="0" xfId="0" applyFill="1" applyAlignment="1">
      <alignment horizontal="left" wrapText="1"/>
    </xf>
    <xf numFmtId="0" fontId="47" fillId="0" borderId="0" xfId="10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9" xfId="107" applyFont="1" applyBorder="1" applyAlignment="1">
      <alignment horizontal="center" vertical="center" wrapText="1"/>
      <protection/>
    </xf>
    <xf numFmtId="0" fontId="27" fillId="0" borderId="21" xfId="107" applyFont="1" applyBorder="1" applyAlignment="1">
      <alignment horizontal="center" vertical="center" wrapText="1"/>
      <protection/>
    </xf>
    <xf numFmtId="0" fontId="27" fillId="0" borderId="24" xfId="107" applyFont="1" applyBorder="1" applyAlignment="1">
      <alignment horizontal="center" vertical="center" wrapText="1"/>
      <protection/>
    </xf>
    <xf numFmtId="0" fontId="39" fillId="54" borderId="15" xfId="107" applyFont="1" applyFill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40" fillId="54" borderId="24" xfId="107" applyFont="1" applyFill="1" applyBorder="1" applyAlignment="1">
      <alignment horizontal="center" vertical="center" wrapText="1"/>
      <protection/>
    </xf>
    <xf numFmtId="0" fontId="40" fillId="54" borderId="25" xfId="107" applyFont="1" applyFill="1" applyBorder="1" applyAlignment="1">
      <alignment horizontal="center" vertical="center" wrapText="1"/>
      <protection/>
    </xf>
    <xf numFmtId="0" fontId="40" fillId="0" borderId="24" xfId="107" applyFont="1" applyBorder="1" applyAlignment="1">
      <alignment horizontal="center" vertical="center" wrapText="1"/>
      <protection/>
    </xf>
    <xf numFmtId="0" fontId="27" fillId="0" borderId="23" xfId="107" applyFont="1" applyBorder="1" applyAlignment="1">
      <alignment horizontal="center" vertical="center" wrapText="1"/>
      <protection/>
    </xf>
    <xf numFmtId="0" fontId="19" fillId="54" borderId="24" xfId="0" applyNumberFormat="1" applyFont="1" applyFill="1" applyBorder="1" applyAlignment="1" applyProtection="1">
      <alignment horizontal="center"/>
      <protection/>
    </xf>
    <xf numFmtId="0" fontId="19" fillId="54" borderId="25" xfId="0" applyNumberFormat="1" applyFont="1" applyFill="1" applyBorder="1" applyAlignment="1" applyProtection="1">
      <alignment horizontal="center"/>
      <protection/>
    </xf>
    <xf numFmtId="0" fontId="19" fillId="54" borderId="23" xfId="0" applyNumberFormat="1" applyFont="1" applyFill="1" applyBorder="1" applyAlignment="1" applyProtection="1">
      <alignment horizontal="center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114" applyNumberFormat="1" applyFont="1" applyFill="1" applyBorder="1" applyAlignment="1" applyProtection="1">
      <alignment vertical="top" wrapText="1"/>
      <protection/>
    </xf>
    <xf numFmtId="0" fontId="27" fillId="0" borderId="25" xfId="114" applyNumberFormat="1" applyFont="1" applyFill="1" applyBorder="1" applyAlignment="1" applyProtection="1">
      <alignment vertical="top" wrapText="1"/>
      <protection/>
    </xf>
    <xf numFmtId="0" fontId="27" fillId="0" borderId="23" xfId="114" applyNumberFormat="1" applyFont="1" applyFill="1" applyBorder="1" applyAlignment="1" applyProtection="1">
      <alignment vertical="top" wrapText="1"/>
      <protection/>
    </xf>
    <xf numFmtId="0" fontId="27" fillId="0" borderId="0" xfId="114" applyNumberFormat="1" applyFont="1" applyFill="1" applyBorder="1" applyAlignment="1" applyProtection="1">
      <alignment horizontal="left" vertical="top"/>
      <protection/>
    </xf>
    <xf numFmtId="0" fontId="19" fillId="0" borderId="24" xfId="114" applyNumberFormat="1" applyFont="1" applyFill="1" applyBorder="1" applyAlignment="1" applyProtection="1">
      <alignment horizontal="center" vertical="top"/>
      <protection/>
    </xf>
    <xf numFmtId="0" fontId="19" fillId="0" borderId="25" xfId="114" applyNumberFormat="1" applyFont="1" applyFill="1" applyBorder="1" applyAlignment="1" applyProtection="1">
      <alignment horizontal="center" vertical="top"/>
      <protection/>
    </xf>
    <xf numFmtId="0" fontId="19" fillId="0" borderId="23" xfId="114" applyNumberFormat="1" applyFont="1" applyFill="1" applyBorder="1" applyAlignment="1" applyProtection="1">
      <alignment horizontal="center" vertical="top"/>
      <protection/>
    </xf>
    <xf numFmtId="0" fontId="45" fillId="0" borderId="0" xfId="114" applyNumberFormat="1" applyFont="1" applyFill="1" applyBorder="1" applyAlignment="1" applyProtection="1">
      <alignment horizontal="center" vertical="top"/>
      <protection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 2 2" xfId="106"/>
    <cellStyle name="Обычный 3" xfId="107"/>
    <cellStyle name="Обычный 4" xfId="108"/>
    <cellStyle name="Обычный_ Додаток 4" xfId="109"/>
    <cellStyle name="Обычный_D_1_RSGS_55_842_20_12_2018_Додаток 1.4станом на 23.03.2020" xfId="110"/>
    <cellStyle name="Обычный_D_4_RSGS_55_842_20_12_2018" xfId="111"/>
    <cellStyle name="Обычный_Dod5kochtor 2" xfId="112"/>
    <cellStyle name="Обычный_Додаток 5" xfId="113"/>
    <cellStyle name="Обычный_Додаток 6" xfId="114"/>
    <cellStyle name="Обычный_додаток2 2" xfId="115"/>
    <cellStyle name="Обычный_Зміни" xfId="116"/>
    <cellStyle name="Followed Hyperlink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Стиль 1" xfId="128"/>
    <cellStyle name="Текст попередження" xfId="129"/>
    <cellStyle name="Текст пояснення" xfId="130"/>
    <cellStyle name="Текст предупреждения" xfId="131"/>
    <cellStyle name="Comma" xfId="132"/>
    <cellStyle name="Comma [0]" xfId="133"/>
    <cellStyle name="Финансовый 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84</xdr:row>
      <xdr:rowOff>200025</xdr:rowOff>
    </xdr:from>
    <xdr:to>
      <xdr:col>3</xdr:col>
      <xdr:colOff>228600</xdr:colOff>
      <xdr:row>84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609850" y="37061775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4"/>
  <sheetViews>
    <sheetView showGridLines="0" showZeros="0" zoomScale="85" zoomScaleNormal="85" zoomScaleSheetLayoutView="92" zoomScalePageLayoutView="0" workbookViewId="0" topLeftCell="A1">
      <selection activeCell="A1" sqref="A1"/>
    </sheetView>
  </sheetViews>
  <sheetFormatPr defaultColWidth="9.33203125" defaultRowHeight="12.75"/>
  <cols>
    <col min="1" max="1" width="16.83203125" style="1" customWidth="1"/>
    <col min="2" max="2" width="71.5" style="1" customWidth="1"/>
    <col min="3" max="3" width="17.66015625" style="1" customWidth="1"/>
    <col min="4" max="4" width="17.83203125" style="1" customWidth="1"/>
    <col min="5" max="5" width="14.16015625" style="1" customWidth="1"/>
    <col min="6" max="6" width="14.33203125" style="1" customWidth="1"/>
    <col min="7" max="7" width="9.16015625" style="1" customWidth="1"/>
    <col min="8" max="8" width="13.16015625" style="1" customWidth="1"/>
    <col min="9" max="9" width="12.16015625" style="1" customWidth="1"/>
    <col min="10" max="12" width="9.16015625" style="1" customWidth="1"/>
    <col min="13" max="244" width="9.16015625" style="4" customWidth="1"/>
    <col min="245" max="253" width="9.16015625" style="1" customWidth="1"/>
    <col min="254" max="16384" width="9.33203125" style="4" customWidth="1"/>
  </cols>
  <sheetData>
    <row r="1" spans="1:13" ht="68.25" customHeight="1">
      <c r="A1" s="1" t="s">
        <v>490</v>
      </c>
      <c r="C1" s="36"/>
      <c r="D1" s="445" t="s">
        <v>298</v>
      </c>
      <c r="E1" s="446"/>
      <c r="F1" s="446"/>
      <c r="M1" s="1"/>
    </row>
    <row r="2" spans="3:13" ht="15.75" customHeight="1">
      <c r="C2" s="36"/>
      <c r="D2" s="445"/>
      <c r="E2" s="446"/>
      <c r="F2" s="446"/>
      <c r="M2" s="1"/>
    </row>
    <row r="3" spans="1:6" ht="18" customHeight="1">
      <c r="A3" s="447" t="s">
        <v>234</v>
      </c>
      <c r="B3" s="447"/>
      <c r="C3" s="447"/>
      <c r="D3" s="447"/>
      <c r="E3" s="447"/>
      <c r="F3" s="447"/>
    </row>
    <row r="4" spans="1:6" ht="12.75" customHeight="1">
      <c r="A4" s="291">
        <v>12523000000</v>
      </c>
      <c r="B4" s="126"/>
      <c r="C4" s="124"/>
      <c r="D4" s="124"/>
      <c r="E4" s="124"/>
      <c r="F4" s="46"/>
    </row>
    <row r="5" spans="1:6" ht="18" customHeight="1">
      <c r="A5" s="290" t="s">
        <v>120</v>
      </c>
      <c r="B5" s="127"/>
      <c r="C5" s="49"/>
      <c r="D5" s="49"/>
      <c r="E5" s="49"/>
      <c r="F5" s="289" t="s">
        <v>36</v>
      </c>
    </row>
    <row r="6" spans="1:6" ht="17.25" customHeight="1">
      <c r="A6" s="451" t="s">
        <v>0</v>
      </c>
      <c r="B6" s="451" t="s">
        <v>119</v>
      </c>
      <c r="C6" s="451" t="s">
        <v>104</v>
      </c>
      <c r="D6" s="451" t="s">
        <v>2</v>
      </c>
      <c r="E6" s="451" t="s">
        <v>3</v>
      </c>
      <c r="F6" s="451"/>
    </row>
    <row r="7" spans="1:6" ht="60" customHeight="1">
      <c r="A7" s="451"/>
      <c r="B7" s="451"/>
      <c r="C7" s="451"/>
      <c r="D7" s="451"/>
      <c r="E7" s="93" t="s">
        <v>105</v>
      </c>
      <c r="F7" s="93" t="s">
        <v>110</v>
      </c>
    </row>
    <row r="8" spans="1:6" ht="12" customHeight="1">
      <c r="A8" s="92">
        <v>1</v>
      </c>
      <c r="B8" s="92">
        <v>2</v>
      </c>
      <c r="C8" s="92">
        <v>3</v>
      </c>
      <c r="D8" s="92">
        <v>4</v>
      </c>
      <c r="E8" s="93">
        <v>5</v>
      </c>
      <c r="F8" s="93">
        <v>6</v>
      </c>
    </row>
    <row r="9" spans="1:253" s="8" customFormat="1" ht="20.25" customHeight="1">
      <c r="A9" s="23">
        <v>10000000</v>
      </c>
      <c r="B9" s="108" t="s">
        <v>1</v>
      </c>
      <c r="C9" s="113">
        <f aca="true" t="shared" si="0" ref="C9:C106">D9+E9</f>
        <v>124820.18300000002</v>
      </c>
      <c r="D9" s="115">
        <f>D10+D19+D25+D31+D49</f>
        <v>124732.09400000001</v>
      </c>
      <c r="E9" s="115">
        <f>E49</f>
        <v>88.089</v>
      </c>
      <c r="F9" s="115"/>
      <c r="G9" s="7"/>
      <c r="H9" s="7"/>
      <c r="I9" s="7"/>
      <c r="J9" s="7"/>
      <c r="K9" s="7"/>
      <c r="L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11" customFormat="1" ht="33.75" customHeight="1">
      <c r="A10" s="23">
        <v>11000000</v>
      </c>
      <c r="B10" s="30" t="s">
        <v>11</v>
      </c>
      <c r="C10" s="113">
        <f t="shared" si="0"/>
        <v>93837.008</v>
      </c>
      <c r="D10" s="113">
        <f>D11+D17</f>
        <v>93837.008</v>
      </c>
      <c r="E10" s="113">
        <f>E11+E17</f>
        <v>0</v>
      </c>
      <c r="F10" s="113">
        <f>F11+F17</f>
        <v>0</v>
      </c>
      <c r="G10" s="10"/>
      <c r="H10" s="10"/>
      <c r="I10" s="10"/>
      <c r="J10" s="10"/>
      <c r="K10" s="10"/>
      <c r="L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6" s="9" customFormat="1" ht="21" customHeight="1">
      <c r="A11" s="51">
        <v>11010000</v>
      </c>
      <c r="B11" s="60" t="s">
        <v>12</v>
      </c>
      <c r="C11" s="116">
        <f t="shared" si="0"/>
        <v>93793.348</v>
      </c>
      <c r="D11" s="116">
        <f>SUM(D12:D15)</f>
        <v>93793.348</v>
      </c>
      <c r="E11" s="116"/>
      <c r="F11" s="116"/>
    </row>
    <row r="12" spans="1:6" s="10" customFormat="1" ht="49.5" customHeight="1">
      <c r="A12" s="51">
        <v>11010100</v>
      </c>
      <c r="B12" s="59" t="s">
        <v>13</v>
      </c>
      <c r="C12" s="116">
        <f t="shared" si="0"/>
        <v>86653.188</v>
      </c>
      <c r="D12" s="116">
        <f>86800.212-147.024</f>
        <v>86653.188</v>
      </c>
      <c r="E12" s="116"/>
      <c r="F12" s="116"/>
    </row>
    <row r="13" spans="1:253" s="11" customFormat="1" ht="81" customHeight="1">
      <c r="A13" s="51">
        <v>11010200</v>
      </c>
      <c r="B13" s="59" t="s">
        <v>14</v>
      </c>
      <c r="C13" s="116">
        <f t="shared" si="0"/>
        <v>4372.672</v>
      </c>
      <c r="D13" s="117">
        <f>4397.4-24.728</f>
        <v>4372.672</v>
      </c>
      <c r="E13" s="117"/>
      <c r="F13" s="117"/>
      <c r="G13" s="10"/>
      <c r="H13" s="10"/>
      <c r="I13" s="10"/>
      <c r="J13" s="10"/>
      <c r="K13" s="10"/>
      <c r="L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1" customFormat="1" ht="52.5" customHeight="1">
      <c r="A14" s="50">
        <v>11010400</v>
      </c>
      <c r="B14" s="67" t="s">
        <v>15</v>
      </c>
      <c r="C14" s="116">
        <f t="shared" si="0"/>
        <v>2096.284</v>
      </c>
      <c r="D14" s="117">
        <f>108.3+69.6+363.12+1000+150.152+405.112</f>
        <v>2096.284</v>
      </c>
      <c r="E14" s="117"/>
      <c r="F14" s="117"/>
      <c r="G14" s="10"/>
      <c r="H14" s="10"/>
      <c r="I14" s="10"/>
      <c r="J14" s="10"/>
      <c r="K14" s="10"/>
      <c r="L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1" customFormat="1" ht="35.25" customHeight="1">
      <c r="A15" s="68">
        <v>11010500</v>
      </c>
      <c r="B15" s="59" t="s">
        <v>16</v>
      </c>
      <c r="C15" s="116">
        <f t="shared" si="0"/>
        <v>671.2040000000001</v>
      </c>
      <c r="D15" s="117">
        <f>210.3+62+190+21.6+187.304</f>
        <v>671.2040000000001</v>
      </c>
      <c r="E15" s="117"/>
      <c r="F15" s="117"/>
      <c r="G15" s="10"/>
      <c r="H15" s="10"/>
      <c r="I15" s="10"/>
      <c r="J15" s="10"/>
      <c r="K15" s="10"/>
      <c r="L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1" customFormat="1" ht="63" customHeight="1" hidden="1">
      <c r="A16" s="68">
        <v>11010900</v>
      </c>
      <c r="B16" s="109" t="s">
        <v>96</v>
      </c>
      <c r="C16" s="116">
        <f t="shared" si="0"/>
        <v>0</v>
      </c>
      <c r="D16" s="117"/>
      <c r="E16" s="117"/>
      <c r="F16" s="117"/>
      <c r="G16" s="10"/>
      <c r="H16" s="10"/>
      <c r="I16" s="10"/>
      <c r="J16" s="10"/>
      <c r="K16" s="10"/>
      <c r="L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1" customFormat="1" ht="30.75" customHeight="1">
      <c r="A17" s="70">
        <v>11020000</v>
      </c>
      <c r="B17" s="145" t="s">
        <v>128</v>
      </c>
      <c r="C17" s="113">
        <f t="shared" si="0"/>
        <v>43.66</v>
      </c>
      <c r="D17" s="115">
        <f>D18</f>
        <v>43.66</v>
      </c>
      <c r="E17" s="117"/>
      <c r="F17" s="117"/>
      <c r="G17" s="10"/>
      <c r="H17" s="10"/>
      <c r="I17" s="10"/>
      <c r="J17" s="10"/>
      <c r="K17" s="10"/>
      <c r="L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1" customFormat="1" ht="39.75" customHeight="1">
      <c r="A18" s="66">
        <v>11020200</v>
      </c>
      <c r="B18" s="140" t="s">
        <v>129</v>
      </c>
      <c r="C18" s="116">
        <f t="shared" si="0"/>
        <v>43.66</v>
      </c>
      <c r="D18" s="238">
        <f>50-6.34</f>
        <v>43.66</v>
      </c>
      <c r="E18" s="117"/>
      <c r="F18" s="117"/>
      <c r="G18" s="10"/>
      <c r="H18" s="10"/>
      <c r="I18" s="10"/>
      <c r="J18" s="10"/>
      <c r="K18" s="10"/>
      <c r="L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1" customFormat="1" ht="33.75" customHeight="1">
      <c r="A19" s="143">
        <v>13000000</v>
      </c>
      <c r="B19" s="144" t="s">
        <v>97</v>
      </c>
      <c r="C19" s="113">
        <f t="shared" si="0"/>
        <v>39.047</v>
      </c>
      <c r="D19" s="113">
        <f>D20+D22+D24</f>
        <v>39.047</v>
      </c>
      <c r="E19" s="117"/>
      <c r="F19" s="117"/>
      <c r="G19" s="10"/>
      <c r="H19" s="10"/>
      <c r="I19" s="10"/>
      <c r="J19" s="10"/>
      <c r="K19" s="10"/>
      <c r="L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1" customFormat="1" ht="22.5" customHeight="1">
      <c r="A20" s="139">
        <v>13010000</v>
      </c>
      <c r="B20" s="112" t="s">
        <v>115</v>
      </c>
      <c r="C20" s="116">
        <f>C21</f>
        <v>14.826999999999998</v>
      </c>
      <c r="D20" s="116">
        <f>D21</f>
        <v>14.826999999999998</v>
      </c>
      <c r="E20" s="117"/>
      <c r="F20" s="117"/>
      <c r="G20" s="10"/>
      <c r="H20" s="10"/>
      <c r="I20" s="10"/>
      <c r="J20" s="10"/>
      <c r="K20" s="10"/>
      <c r="L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1" customFormat="1" ht="69.75" customHeight="1">
      <c r="A21" s="139">
        <v>13010200</v>
      </c>
      <c r="B21" s="140" t="s">
        <v>130</v>
      </c>
      <c r="C21" s="116">
        <f t="shared" si="0"/>
        <v>14.826999999999998</v>
      </c>
      <c r="D21" s="116">
        <f>14.2-4.5+6.252-1.125</f>
        <v>14.826999999999998</v>
      </c>
      <c r="E21" s="117"/>
      <c r="F21" s="117"/>
      <c r="G21" s="10"/>
      <c r="H21" s="10"/>
      <c r="I21" s="10"/>
      <c r="J21" s="10"/>
      <c r="K21" s="10"/>
      <c r="L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1" customFormat="1" ht="31.5" customHeight="1">
      <c r="A22" s="138">
        <v>13030000</v>
      </c>
      <c r="B22" s="110" t="s">
        <v>282</v>
      </c>
      <c r="C22" s="116">
        <f t="shared" si="0"/>
        <v>7.6370000000000005</v>
      </c>
      <c r="D22" s="116">
        <f>D23</f>
        <v>7.6370000000000005</v>
      </c>
      <c r="E22" s="117"/>
      <c r="F22" s="117"/>
      <c r="G22" s="10"/>
      <c r="H22" s="10"/>
      <c r="I22" s="10"/>
      <c r="J22" s="10"/>
      <c r="K22" s="10"/>
      <c r="L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1" customFormat="1" ht="29.25" customHeight="1">
      <c r="A23" s="66">
        <v>13030100</v>
      </c>
      <c r="B23" s="140" t="s">
        <v>283</v>
      </c>
      <c r="C23" s="116">
        <f t="shared" si="0"/>
        <v>7.6370000000000005</v>
      </c>
      <c r="D23" s="116">
        <f>5.4-1-1.07+1.823+2.484</f>
        <v>7.6370000000000005</v>
      </c>
      <c r="E23" s="117"/>
      <c r="F23" s="117"/>
      <c r="G23" s="10"/>
      <c r="H23" s="10"/>
      <c r="I23" s="10"/>
      <c r="J23" s="10"/>
      <c r="K23" s="10"/>
      <c r="L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1" customFormat="1" ht="29.25" customHeight="1">
      <c r="A24" s="66">
        <v>13040100</v>
      </c>
      <c r="B24" s="140" t="s">
        <v>470</v>
      </c>
      <c r="C24" s="116">
        <f t="shared" si="0"/>
        <v>16.583</v>
      </c>
      <c r="D24" s="116">
        <f>11.511+5.072</f>
        <v>16.583</v>
      </c>
      <c r="E24" s="117"/>
      <c r="F24" s="117"/>
      <c r="G24" s="10"/>
      <c r="H24" s="10"/>
      <c r="I24" s="10"/>
      <c r="J24" s="10"/>
      <c r="K24" s="10"/>
      <c r="L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1" customFormat="1" ht="29.25" customHeight="1">
      <c r="A25" s="70">
        <v>14000000</v>
      </c>
      <c r="B25" s="145" t="s">
        <v>131</v>
      </c>
      <c r="C25" s="113">
        <f t="shared" si="0"/>
        <v>2299.971</v>
      </c>
      <c r="D25" s="113">
        <f>D26+D28+D30</f>
        <v>2299.971</v>
      </c>
      <c r="E25" s="117"/>
      <c r="F25" s="117"/>
      <c r="G25" s="10"/>
      <c r="H25" s="10"/>
      <c r="I25" s="10"/>
      <c r="J25" s="10"/>
      <c r="K25" s="10"/>
      <c r="L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1" customFormat="1" ht="34.5" customHeight="1">
      <c r="A26" s="66">
        <v>14020000</v>
      </c>
      <c r="B26" s="140" t="s">
        <v>132</v>
      </c>
      <c r="C26" s="116">
        <f t="shared" si="0"/>
        <v>158.008</v>
      </c>
      <c r="D26" s="116">
        <f>D27</f>
        <v>158.008</v>
      </c>
      <c r="E26" s="117"/>
      <c r="F26" s="117"/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1" customFormat="1" ht="22.5" customHeight="1">
      <c r="A27" s="142">
        <v>14021900</v>
      </c>
      <c r="B27" s="141" t="s">
        <v>133</v>
      </c>
      <c r="C27" s="116">
        <f t="shared" si="0"/>
        <v>158.008</v>
      </c>
      <c r="D27" s="116">
        <f>150+6.037+1.971</f>
        <v>158.008</v>
      </c>
      <c r="E27" s="117"/>
      <c r="F27" s="117"/>
      <c r="G27" s="10"/>
      <c r="H27" s="10"/>
      <c r="I27" s="10"/>
      <c r="J27" s="10"/>
      <c r="K27" s="10"/>
      <c r="L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1" customFormat="1" ht="36" customHeight="1">
      <c r="A28" s="66">
        <v>14030000</v>
      </c>
      <c r="B28" s="140" t="s">
        <v>134</v>
      </c>
      <c r="C28" s="116">
        <f t="shared" si="0"/>
        <v>513.963</v>
      </c>
      <c r="D28" s="116">
        <f>D29</f>
        <v>513.963</v>
      </c>
      <c r="E28" s="117"/>
      <c r="F28" s="117"/>
      <c r="G28" s="10"/>
      <c r="H28" s="10"/>
      <c r="I28" s="10"/>
      <c r="J28" s="10"/>
      <c r="K28" s="10"/>
      <c r="L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1" customFormat="1" ht="24" customHeight="1">
      <c r="A29" s="142">
        <v>14031900</v>
      </c>
      <c r="B29" s="141" t="s">
        <v>133</v>
      </c>
      <c r="C29" s="116">
        <f t="shared" si="0"/>
        <v>513.963</v>
      </c>
      <c r="D29" s="116">
        <f>520-6.037</f>
        <v>513.963</v>
      </c>
      <c r="E29" s="117"/>
      <c r="F29" s="117"/>
      <c r="G29" s="10"/>
      <c r="H29" s="10"/>
      <c r="I29" s="10"/>
      <c r="J29" s="10"/>
      <c r="K29" s="10"/>
      <c r="L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1" customFormat="1" ht="29.25" customHeight="1">
      <c r="A30" s="66">
        <v>14040000</v>
      </c>
      <c r="B30" s="140" t="s">
        <v>135</v>
      </c>
      <c r="C30" s="116">
        <f t="shared" si="0"/>
        <v>1628</v>
      </c>
      <c r="D30" s="116">
        <v>1628</v>
      </c>
      <c r="E30" s="117"/>
      <c r="F30" s="117"/>
      <c r="G30" s="10"/>
      <c r="H30" s="10"/>
      <c r="I30" s="10"/>
      <c r="J30" s="10"/>
      <c r="K30" s="10"/>
      <c r="L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1" customFormat="1" ht="45.75" customHeight="1">
      <c r="A31" s="70">
        <v>18000000</v>
      </c>
      <c r="B31" s="30" t="s">
        <v>284</v>
      </c>
      <c r="C31" s="113">
        <f t="shared" si="0"/>
        <v>28556.068000000003</v>
      </c>
      <c r="D31" s="113">
        <f>D32+D41+D45+D43</f>
        <v>28556.068000000003</v>
      </c>
      <c r="E31" s="117"/>
      <c r="F31" s="117"/>
      <c r="G31" s="10"/>
      <c r="H31" s="10"/>
      <c r="I31" s="10"/>
      <c r="J31" s="10"/>
      <c r="K31" s="10"/>
      <c r="L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1" customFormat="1" ht="29.25" customHeight="1">
      <c r="A32" s="66">
        <v>18010000</v>
      </c>
      <c r="B32" s="69" t="s">
        <v>136</v>
      </c>
      <c r="C32" s="116">
        <f t="shared" si="0"/>
        <v>19296.497000000003</v>
      </c>
      <c r="D32" s="116">
        <f>SUM(D33:D40)</f>
        <v>19296.497000000003</v>
      </c>
      <c r="E32" s="117"/>
      <c r="F32" s="117"/>
      <c r="G32" s="10"/>
      <c r="H32" s="10"/>
      <c r="I32" s="10"/>
      <c r="J32" s="10"/>
      <c r="K32" s="10"/>
      <c r="L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1" customFormat="1" ht="45" customHeight="1">
      <c r="A33" s="66">
        <v>18010100</v>
      </c>
      <c r="B33" s="140" t="s">
        <v>137</v>
      </c>
      <c r="C33" s="116">
        <f t="shared" si="0"/>
        <v>3.1</v>
      </c>
      <c r="D33" s="116">
        <f>4-0.9</f>
        <v>3.1</v>
      </c>
      <c r="E33" s="117"/>
      <c r="F33" s="117"/>
      <c r="G33" s="10"/>
      <c r="H33" s="10"/>
      <c r="I33" s="10"/>
      <c r="J33" s="10"/>
      <c r="K33" s="10"/>
      <c r="L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1" customFormat="1" ht="53.25" customHeight="1">
      <c r="A34" s="66">
        <v>18010200</v>
      </c>
      <c r="B34" s="140" t="s">
        <v>138</v>
      </c>
      <c r="C34" s="116">
        <f t="shared" si="0"/>
        <v>77.352</v>
      </c>
      <c r="D34" s="116">
        <f>5+8.7+9.6+19+12.6+22.452</f>
        <v>77.352</v>
      </c>
      <c r="E34" s="117"/>
      <c r="F34" s="117"/>
      <c r="G34" s="10"/>
      <c r="H34" s="10"/>
      <c r="I34" s="10"/>
      <c r="J34" s="10"/>
      <c r="K34" s="10"/>
      <c r="L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1" customFormat="1" ht="50.25" customHeight="1">
      <c r="A35" s="66">
        <v>18010300</v>
      </c>
      <c r="B35" s="140" t="s">
        <v>139</v>
      </c>
      <c r="C35" s="116">
        <f t="shared" si="0"/>
        <v>319.351</v>
      </c>
      <c r="D35" s="116">
        <f>60+29+123.8+64+20.539+22.012</f>
        <v>319.351</v>
      </c>
      <c r="E35" s="117"/>
      <c r="F35" s="117"/>
      <c r="G35" s="10"/>
      <c r="H35" s="10"/>
      <c r="I35" s="10"/>
      <c r="J35" s="10"/>
      <c r="K35" s="10"/>
      <c r="L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1" customFormat="1" ht="45.75" customHeight="1">
      <c r="A36" s="66">
        <v>18010400</v>
      </c>
      <c r="B36" s="140" t="s">
        <v>140</v>
      </c>
      <c r="C36" s="116">
        <f t="shared" si="0"/>
        <v>224.023</v>
      </c>
      <c r="D36" s="116">
        <f>115.2+29.4+44.1+35.323</f>
        <v>224.023</v>
      </c>
      <c r="E36" s="117"/>
      <c r="F36" s="117"/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1" customFormat="1" ht="29.25" customHeight="1">
      <c r="A37" s="66">
        <v>18010500</v>
      </c>
      <c r="B37" s="69" t="s">
        <v>141</v>
      </c>
      <c r="C37" s="116">
        <f t="shared" si="0"/>
        <v>12008.393000000002</v>
      </c>
      <c r="D37" s="116">
        <f>15700-766.64-177.5-261.5-1190-528.666-767.301</f>
        <v>12008.393000000002</v>
      </c>
      <c r="E37" s="117"/>
      <c r="F37" s="117"/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1" customFormat="1" ht="29.25" customHeight="1">
      <c r="A38" s="66">
        <v>18010600</v>
      </c>
      <c r="B38" s="69" t="s">
        <v>142</v>
      </c>
      <c r="C38" s="116">
        <f t="shared" si="0"/>
        <v>5118.778</v>
      </c>
      <c r="D38" s="116">
        <f>4700+300+118.778</f>
        <v>5118.778</v>
      </c>
      <c r="E38" s="117"/>
      <c r="F38" s="117"/>
      <c r="G38" s="10"/>
      <c r="H38" s="10"/>
      <c r="I38" s="10"/>
      <c r="J38" s="10"/>
      <c r="K38" s="10"/>
      <c r="L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1" customFormat="1" ht="29.25" customHeight="1">
      <c r="A39" s="66">
        <v>18010700</v>
      </c>
      <c r="B39" s="69" t="s">
        <v>143</v>
      </c>
      <c r="C39" s="116">
        <f t="shared" si="0"/>
        <v>533.5</v>
      </c>
      <c r="D39" s="116">
        <f>330+178.5+25</f>
        <v>533.5</v>
      </c>
      <c r="E39" s="117"/>
      <c r="F39" s="117"/>
      <c r="G39" s="10"/>
      <c r="H39" s="10"/>
      <c r="I39" s="10"/>
      <c r="J39" s="10"/>
      <c r="K39" s="10"/>
      <c r="L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1" customFormat="1" ht="29.25" customHeight="1">
      <c r="A40" s="66">
        <v>18010900</v>
      </c>
      <c r="B40" s="69" t="s">
        <v>144</v>
      </c>
      <c r="C40" s="116">
        <f t="shared" si="0"/>
        <v>1012</v>
      </c>
      <c r="D40" s="116">
        <f>912+100</f>
        <v>1012</v>
      </c>
      <c r="E40" s="117"/>
      <c r="F40" s="117"/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1" customFormat="1" ht="29.25" customHeight="1">
      <c r="A41" s="66">
        <v>18030000</v>
      </c>
      <c r="B41" s="69" t="s">
        <v>145</v>
      </c>
      <c r="C41" s="116">
        <f t="shared" si="0"/>
        <v>10.055</v>
      </c>
      <c r="D41" s="116">
        <f>D42</f>
        <v>10.055</v>
      </c>
      <c r="E41" s="117"/>
      <c r="F41" s="117"/>
      <c r="G41" s="10"/>
      <c r="H41" s="10"/>
      <c r="I41" s="10"/>
      <c r="J41" s="10"/>
      <c r="K41" s="10"/>
      <c r="L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1" customFormat="1" ht="29.25" customHeight="1">
      <c r="A42" s="66">
        <v>18030100</v>
      </c>
      <c r="B42" s="69" t="s">
        <v>146</v>
      </c>
      <c r="C42" s="116">
        <f t="shared" si="0"/>
        <v>10.055</v>
      </c>
      <c r="D42" s="116">
        <f>16.15-2.6-3.495</f>
        <v>10.055</v>
      </c>
      <c r="E42" s="117"/>
      <c r="F42" s="117"/>
      <c r="G42" s="10"/>
      <c r="H42" s="10"/>
      <c r="I42" s="10"/>
      <c r="J42" s="10"/>
      <c r="K42" s="10"/>
      <c r="L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253" s="11" customFormat="1" ht="34.5" customHeight="1">
      <c r="A43" s="66">
        <v>18040000</v>
      </c>
      <c r="B43" s="423" t="s">
        <v>482</v>
      </c>
      <c r="C43" s="116">
        <f t="shared" si="0"/>
        <v>5.401</v>
      </c>
      <c r="D43" s="116">
        <f>D44</f>
        <v>5.401</v>
      </c>
      <c r="E43" s="117"/>
      <c r="F43" s="117"/>
      <c r="G43" s="10"/>
      <c r="H43" s="10"/>
      <c r="I43" s="10"/>
      <c r="J43" s="10"/>
      <c r="K43" s="10"/>
      <c r="L43" s="10"/>
      <c r="IK43" s="10"/>
      <c r="IL43" s="10"/>
      <c r="IM43" s="10"/>
      <c r="IN43" s="10"/>
      <c r="IO43" s="10"/>
      <c r="IP43" s="10"/>
      <c r="IQ43" s="10"/>
      <c r="IR43" s="10"/>
      <c r="IS43" s="10"/>
    </row>
    <row r="44" spans="1:253" s="11" customFormat="1" ht="68.25" customHeight="1">
      <c r="A44" s="66">
        <v>18041900</v>
      </c>
      <c r="B44" s="423" t="s">
        <v>481</v>
      </c>
      <c r="C44" s="116">
        <f t="shared" si="0"/>
        <v>5.401</v>
      </c>
      <c r="D44" s="116">
        <v>5.401</v>
      </c>
      <c r="E44" s="117"/>
      <c r="F44" s="117"/>
      <c r="G44" s="10"/>
      <c r="H44" s="10"/>
      <c r="I44" s="10"/>
      <c r="J44" s="10"/>
      <c r="K44" s="10"/>
      <c r="L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s="11" customFormat="1" ht="29.25" customHeight="1">
      <c r="A45" s="66">
        <v>18050000</v>
      </c>
      <c r="B45" s="69" t="s">
        <v>147</v>
      </c>
      <c r="C45" s="116">
        <f t="shared" si="0"/>
        <v>9244.115</v>
      </c>
      <c r="D45" s="116">
        <f>D46+D47+D48</f>
        <v>9244.115</v>
      </c>
      <c r="E45" s="117"/>
      <c r="F45" s="117"/>
      <c r="G45" s="10"/>
      <c r="H45" s="10"/>
      <c r="I45" s="10"/>
      <c r="J45" s="10"/>
      <c r="K45" s="10"/>
      <c r="L45" s="10"/>
      <c r="IK45" s="10"/>
      <c r="IL45" s="10"/>
      <c r="IM45" s="10"/>
      <c r="IN45" s="10"/>
      <c r="IO45" s="10"/>
      <c r="IP45" s="10"/>
      <c r="IQ45" s="10"/>
      <c r="IR45" s="10"/>
      <c r="IS45" s="10"/>
    </row>
    <row r="46" spans="1:253" s="11" customFormat="1" ht="29.25" customHeight="1">
      <c r="A46" s="66">
        <v>18050300</v>
      </c>
      <c r="B46" s="69" t="s">
        <v>148</v>
      </c>
      <c r="C46" s="116">
        <f t="shared" si="0"/>
        <v>947.055</v>
      </c>
      <c r="D46" s="116">
        <f>1170-100.095-122.85</f>
        <v>947.055</v>
      </c>
      <c r="E46" s="117"/>
      <c r="F46" s="117"/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11" customFormat="1" ht="29.25" customHeight="1">
      <c r="A47" s="66">
        <v>18050400</v>
      </c>
      <c r="B47" s="69" t="s">
        <v>149</v>
      </c>
      <c r="C47" s="116">
        <f t="shared" si="0"/>
        <v>5491.67</v>
      </c>
      <c r="D47" s="116">
        <f>5800-380+71.67</f>
        <v>5491.67</v>
      </c>
      <c r="E47" s="117"/>
      <c r="F47" s="117"/>
      <c r="G47" s="10"/>
      <c r="H47" s="10"/>
      <c r="I47" s="10"/>
      <c r="J47" s="10"/>
      <c r="K47" s="10"/>
      <c r="L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 s="11" customFormat="1" ht="66.75" customHeight="1">
      <c r="A48" s="66">
        <v>18050500</v>
      </c>
      <c r="B48" s="22" t="s">
        <v>150</v>
      </c>
      <c r="C48" s="116">
        <f t="shared" si="0"/>
        <v>2805.39</v>
      </c>
      <c r="D48" s="116">
        <f>2600-222.94+500-71.67</f>
        <v>2805.39</v>
      </c>
      <c r="E48" s="117"/>
      <c r="F48" s="117"/>
      <c r="G48" s="10"/>
      <c r="H48" s="10"/>
      <c r="I48" s="10"/>
      <c r="J48" s="10"/>
      <c r="K48" s="10"/>
      <c r="L48" s="10"/>
      <c r="IK48" s="10"/>
      <c r="IL48" s="10"/>
      <c r="IM48" s="10"/>
      <c r="IN48" s="10"/>
      <c r="IO48" s="10"/>
      <c r="IP48" s="10"/>
      <c r="IQ48" s="10"/>
      <c r="IR48" s="10"/>
      <c r="IS48" s="10"/>
    </row>
    <row r="49" spans="1:253" s="11" customFormat="1" ht="33.75" customHeight="1">
      <c r="A49" s="70">
        <v>19010000</v>
      </c>
      <c r="B49" s="30" t="s">
        <v>280</v>
      </c>
      <c r="C49" s="113">
        <f>C50+C52+C51</f>
        <v>88.089</v>
      </c>
      <c r="D49" s="113"/>
      <c r="E49" s="113">
        <f>E50+E52+E51</f>
        <v>88.089</v>
      </c>
      <c r="F49" s="113">
        <f>F50+F52</f>
        <v>0</v>
      </c>
      <c r="G49" s="10"/>
      <c r="H49" s="10"/>
      <c r="I49" s="10"/>
      <c r="J49" s="10"/>
      <c r="K49" s="10"/>
      <c r="L49" s="10"/>
      <c r="IK49" s="10"/>
      <c r="IL49" s="10"/>
      <c r="IM49" s="10"/>
      <c r="IN49" s="10"/>
      <c r="IO49" s="10"/>
      <c r="IP49" s="10"/>
      <c r="IQ49" s="10"/>
      <c r="IR49" s="10"/>
      <c r="IS49" s="10"/>
    </row>
    <row r="50" spans="1:253" s="11" customFormat="1" ht="66" customHeight="1">
      <c r="A50" s="66">
        <v>19010100</v>
      </c>
      <c r="B50" s="237" t="s">
        <v>285</v>
      </c>
      <c r="C50" s="116">
        <f t="shared" si="0"/>
        <v>52.881</v>
      </c>
      <c r="D50" s="116"/>
      <c r="E50" s="117">
        <f>35+17.881</f>
        <v>52.881</v>
      </c>
      <c r="F50" s="117"/>
      <c r="G50" s="10"/>
      <c r="H50" s="10"/>
      <c r="I50" s="10"/>
      <c r="J50" s="10"/>
      <c r="K50" s="10"/>
      <c r="L50" s="10"/>
      <c r="IK50" s="10"/>
      <c r="IL50" s="10"/>
      <c r="IM50" s="10"/>
      <c r="IN50" s="10"/>
      <c r="IO50" s="10"/>
      <c r="IP50" s="10"/>
      <c r="IQ50" s="10"/>
      <c r="IR50" s="10"/>
      <c r="IS50" s="10"/>
    </row>
    <row r="51" spans="1:253" s="11" customFormat="1" ht="32.25" customHeight="1">
      <c r="A51" s="66">
        <v>19010200</v>
      </c>
      <c r="B51" s="237" t="s">
        <v>434</v>
      </c>
      <c r="C51" s="116">
        <f t="shared" si="0"/>
        <v>6.208</v>
      </c>
      <c r="D51" s="116"/>
      <c r="E51" s="117">
        <v>6.208</v>
      </c>
      <c r="F51" s="117"/>
      <c r="G51" s="10"/>
      <c r="H51" s="10"/>
      <c r="I51" s="10"/>
      <c r="J51" s="10"/>
      <c r="K51" s="10"/>
      <c r="L51" s="10"/>
      <c r="IK51" s="10"/>
      <c r="IL51" s="10"/>
      <c r="IM51" s="10"/>
      <c r="IN51" s="10"/>
      <c r="IO51" s="10"/>
      <c r="IP51" s="10"/>
      <c r="IQ51" s="10"/>
      <c r="IR51" s="10"/>
      <c r="IS51" s="10"/>
    </row>
    <row r="52" spans="1:253" s="11" customFormat="1" ht="50.25" customHeight="1">
      <c r="A52" s="66">
        <v>19010300</v>
      </c>
      <c r="B52" s="237" t="s">
        <v>281</v>
      </c>
      <c r="C52" s="116">
        <f t="shared" si="0"/>
        <v>29</v>
      </c>
      <c r="D52" s="116"/>
      <c r="E52" s="117">
        <v>29</v>
      </c>
      <c r="F52" s="117"/>
      <c r="G52" s="10"/>
      <c r="H52" s="10"/>
      <c r="I52" s="10"/>
      <c r="J52" s="10"/>
      <c r="K52" s="10"/>
      <c r="L52" s="10"/>
      <c r="IK52" s="10"/>
      <c r="IL52" s="10"/>
      <c r="IM52" s="10"/>
      <c r="IN52" s="10"/>
      <c r="IO52" s="10"/>
      <c r="IP52" s="10"/>
      <c r="IQ52" s="10"/>
      <c r="IR52" s="10"/>
      <c r="IS52" s="10"/>
    </row>
    <row r="53" spans="1:253" s="11" customFormat="1" ht="33.75" customHeight="1">
      <c r="A53" s="70">
        <v>20000000</v>
      </c>
      <c r="B53" s="145" t="s">
        <v>151</v>
      </c>
      <c r="C53" s="113">
        <f t="shared" si="0"/>
        <v>2062.1679999999997</v>
      </c>
      <c r="D53" s="113">
        <f>D54+D60+D69</f>
        <v>2062.1679999999997</v>
      </c>
      <c r="E53" s="117"/>
      <c r="F53" s="117"/>
      <c r="G53" s="10"/>
      <c r="H53" s="10"/>
      <c r="I53" s="10"/>
      <c r="J53" s="10"/>
      <c r="K53" s="10"/>
      <c r="L53" s="10"/>
      <c r="IK53" s="10"/>
      <c r="IL53" s="10"/>
      <c r="IM53" s="10"/>
      <c r="IN53" s="10"/>
      <c r="IO53" s="10"/>
      <c r="IP53" s="10"/>
      <c r="IQ53" s="10"/>
      <c r="IR53" s="10"/>
      <c r="IS53" s="10"/>
    </row>
    <row r="54" spans="1:253" s="11" customFormat="1" ht="21" customHeight="1">
      <c r="A54" s="66">
        <v>21000000</v>
      </c>
      <c r="B54" s="69" t="s">
        <v>152</v>
      </c>
      <c r="C54" s="116">
        <f t="shared" si="0"/>
        <v>29.426</v>
      </c>
      <c r="D54" s="116">
        <f>D57+D55</f>
        <v>29.426</v>
      </c>
      <c r="E54" s="117"/>
      <c r="F54" s="117"/>
      <c r="G54" s="10"/>
      <c r="H54" s="10"/>
      <c r="I54" s="10"/>
      <c r="J54" s="10"/>
      <c r="K54" s="10"/>
      <c r="L54" s="10"/>
      <c r="IK54" s="10"/>
      <c r="IL54" s="10"/>
      <c r="IM54" s="10"/>
      <c r="IN54" s="10"/>
      <c r="IO54" s="10"/>
      <c r="IP54" s="10"/>
      <c r="IQ54" s="10"/>
      <c r="IR54" s="10"/>
      <c r="IS54" s="10"/>
    </row>
    <row r="55" spans="1:253" s="11" customFormat="1" ht="97.5" customHeight="1">
      <c r="A55" s="66">
        <v>21010000</v>
      </c>
      <c r="B55" s="363" t="s">
        <v>385</v>
      </c>
      <c r="C55" s="116">
        <f t="shared" si="0"/>
        <v>4.101</v>
      </c>
      <c r="D55" s="116">
        <f>D56</f>
        <v>4.101</v>
      </c>
      <c r="E55" s="117"/>
      <c r="F55" s="117"/>
      <c r="G55" s="10"/>
      <c r="H55" s="10"/>
      <c r="I55" s="10"/>
      <c r="J55" s="10"/>
      <c r="K55" s="10"/>
      <c r="L55" s="10"/>
      <c r="IK55" s="10"/>
      <c r="IL55" s="10"/>
      <c r="IM55" s="10"/>
      <c r="IN55" s="10"/>
      <c r="IO55" s="10"/>
      <c r="IP55" s="10"/>
      <c r="IQ55" s="10"/>
      <c r="IR55" s="10"/>
      <c r="IS55" s="10"/>
    </row>
    <row r="56" spans="1:253" s="11" customFormat="1" ht="47.25" customHeight="1">
      <c r="A56" s="66">
        <v>21010300</v>
      </c>
      <c r="B56" s="22" t="s">
        <v>384</v>
      </c>
      <c r="C56" s="116">
        <f t="shared" si="0"/>
        <v>4.101</v>
      </c>
      <c r="D56" s="116">
        <f>0.3+3.801</f>
        <v>4.101</v>
      </c>
      <c r="E56" s="117"/>
      <c r="F56" s="117"/>
      <c r="G56" s="10"/>
      <c r="H56" s="10"/>
      <c r="I56" s="10"/>
      <c r="J56" s="10"/>
      <c r="K56" s="10"/>
      <c r="L56" s="10"/>
      <c r="IK56" s="10"/>
      <c r="IL56" s="10"/>
      <c r="IM56" s="10"/>
      <c r="IN56" s="10"/>
      <c r="IO56" s="10"/>
      <c r="IP56" s="10"/>
      <c r="IQ56" s="10"/>
      <c r="IR56" s="10"/>
      <c r="IS56" s="10"/>
    </row>
    <row r="57" spans="1:253" s="11" customFormat="1" ht="24" customHeight="1">
      <c r="A57" s="66">
        <v>21080000</v>
      </c>
      <c r="B57" s="69" t="s">
        <v>153</v>
      </c>
      <c r="C57" s="116">
        <f t="shared" si="0"/>
        <v>25.325</v>
      </c>
      <c r="D57" s="116">
        <f>D58+D59</f>
        <v>25.325</v>
      </c>
      <c r="E57" s="117"/>
      <c r="F57" s="117"/>
      <c r="G57" s="10"/>
      <c r="H57" s="10"/>
      <c r="I57" s="10"/>
      <c r="J57" s="10"/>
      <c r="K57" s="10"/>
      <c r="L57" s="10"/>
      <c r="IK57" s="10"/>
      <c r="IL57" s="10"/>
      <c r="IM57" s="10"/>
      <c r="IN57" s="10"/>
      <c r="IO57" s="10"/>
      <c r="IP57" s="10"/>
      <c r="IQ57" s="10"/>
      <c r="IR57" s="10"/>
      <c r="IS57" s="10"/>
    </row>
    <row r="58" spans="1:253" s="11" customFormat="1" ht="27" customHeight="1">
      <c r="A58" s="66">
        <v>21081100</v>
      </c>
      <c r="B58" s="69" t="s">
        <v>154</v>
      </c>
      <c r="C58" s="116">
        <f t="shared" si="0"/>
        <v>23.81</v>
      </c>
      <c r="D58" s="116">
        <f>25-1.19</f>
        <v>23.81</v>
      </c>
      <c r="E58" s="117"/>
      <c r="F58" s="117"/>
      <c r="G58" s="10"/>
      <c r="H58" s="10"/>
      <c r="I58" s="10"/>
      <c r="J58" s="10"/>
      <c r="K58" s="10"/>
      <c r="L58" s="10"/>
      <c r="IK58" s="10"/>
      <c r="IL58" s="10"/>
      <c r="IM58" s="10"/>
      <c r="IN58" s="10"/>
      <c r="IO58" s="10"/>
      <c r="IP58" s="10"/>
      <c r="IQ58" s="10"/>
      <c r="IR58" s="10"/>
      <c r="IS58" s="10"/>
    </row>
    <row r="59" spans="1:253" s="11" customFormat="1" ht="48" customHeight="1">
      <c r="A59" s="66">
        <v>21081500</v>
      </c>
      <c r="B59" s="22" t="s">
        <v>155</v>
      </c>
      <c r="C59" s="116">
        <f t="shared" si="0"/>
        <v>1.515</v>
      </c>
      <c r="D59" s="116">
        <f>6.8-3.775-1.51</f>
        <v>1.515</v>
      </c>
      <c r="E59" s="117"/>
      <c r="F59" s="117"/>
      <c r="G59" s="10"/>
      <c r="H59" s="10"/>
      <c r="I59" s="10"/>
      <c r="J59" s="10"/>
      <c r="K59" s="10"/>
      <c r="L59" s="10"/>
      <c r="IK59" s="10"/>
      <c r="IL59" s="10"/>
      <c r="IM59" s="10"/>
      <c r="IN59" s="10"/>
      <c r="IO59" s="10"/>
      <c r="IP59" s="10"/>
      <c r="IQ59" s="10"/>
      <c r="IR59" s="10"/>
      <c r="IS59" s="10"/>
    </row>
    <row r="60" spans="1:253" s="11" customFormat="1" ht="40.5" customHeight="1">
      <c r="A60" s="66">
        <v>22000000</v>
      </c>
      <c r="B60" s="22" t="s">
        <v>156</v>
      </c>
      <c r="C60" s="116">
        <f t="shared" si="0"/>
        <v>1309.542</v>
      </c>
      <c r="D60" s="116">
        <f>D61+D66</f>
        <v>1309.542</v>
      </c>
      <c r="E60" s="117"/>
      <c r="F60" s="117"/>
      <c r="G60" s="10"/>
      <c r="H60" s="10"/>
      <c r="I60" s="10"/>
      <c r="J60" s="10"/>
      <c r="K60" s="10"/>
      <c r="L60" s="10"/>
      <c r="IK60" s="10"/>
      <c r="IL60" s="10"/>
      <c r="IM60" s="10"/>
      <c r="IN60" s="10"/>
      <c r="IO60" s="10"/>
      <c r="IP60" s="10"/>
      <c r="IQ60" s="10"/>
      <c r="IR60" s="10"/>
      <c r="IS60" s="10"/>
    </row>
    <row r="61" spans="1:253" s="11" customFormat="1" ht="29.25" customHeight="1">
      <c r="A61" s="66">
        <v>22010000</v>
      </c>
      <c r="B61" s="69" t="s">
        <v>61</v>
      </c>
      <c r="C61" s="116">
        <f t="shared" si="0"/>
        <v>1253.646</v>
      </c>
      <c r="D61" s="116">
        <f>D62+D63+D64+D65</f>
        <v>1253.646</v>
      </c>
      <c r="E61" s="117"/>
      <c r="F61" s="117"/>
      <c r="G61" s="10"/>
      <c r="H61" s="10"/>
      <c r="I61" s="10"/>
      <c r="J61" s="10"/>
      <c r="K61" s="10"/>
      <c r="L61" s="10"/>
      <c r="IK61" s="10"/>
      <c r="IL61" s="10"/>
      <c r="IM61" s="10"/>
      <c r="IN61" s="10"/>
      <c r="IO61" s="10"/>
      <c r="IP61" s="10"/>
      <c r="IQ61" s="10"/>
      <c r="IR61" s="10"/>
      <c r="IS61" s="10"/>
    </row>
    <row r="62" spans="1:253" s="11" customFormat="1" ht="51.75" customHeight="1">
      <c r="A62" s="66">
        <v>22010300</v>
      </c>
      <c r="B62" s="22" t="s">
        <v>157</v>
      </c>
      <c r="C62" s="116">
        <f t="shared" si="0"/>
        <v>51.2</v>
      </c>
      <c r="D62" s="116">
        <v>51.2</v>
      </c>
      <c r="E62" s="117"/>
      <c r="F62" s="117"/>
      <c r="G62" s="10"/>
      <c r="H62" s="10"/>
      <c r="I62" s="10"/>
      <c r="J62" s="10"/>
      <c r="K62" s="10"/>
      <c r="L62" s="10"/>
      <c r="IK62" s="10"/>
      <c r="IL62" s="10"/>
      <c r="IM62" s="10"/>
      <c r="IN62" s="10"/>
      <c r="IO62" s="10"/>
      <c r="IP62" s="10"/>
      <c r="IQ62" s="10"/>
      <c r="IR62" s="10"/>
      <c r="IS62" s="10"/>
    </row>
    <row r="63" spans="1:253" s="11" customFormat="1" ht="26.25" customHeight="1">
      <c r="A63" s="66">
        <v>22012500</v>
      </c>
      <c r="B63" s="69" t="s">
        <v>158</v>
      </c>
      <c r="C63" s="116">
        <f t="shared" si="0"/>
        <v>1080.992</v>
      </c>
      <c r="D63" s="117">
        <f>1050+30.992</f>
        <v>1080.992</v>
      </c>
      <c r="E63" s="117"/>
      <c r="F63" s="117"/>
      <c r="G63" s="10"/>
      <c r="H63" s="10"/>
      <c r="I63" s="10"/>
      <c r="J63" s="10"/>
      <c r="K63" s="10"/>
      <c r="L63" s="10"/>
      <c r="IK63" s="10"/>
      <c r="IL63" s="10"/>
      <c r="IM63" s="10"/>
      <c r="IN63" s="10"/>
      <c r="IO63" s="10"/>
      <c r="IP63" s="10"/>
      <c r="IQ63" s="10"/>
      <c r="IR63" s="10"/>
      <c r="IS63" s="10"/>
    </row>
    <row r="64" spans="1:253" s="11" customFormat="1" ht="30" customHeight="1">
      <c r="A64" s="66">
        <v>22012600</v>
      </c>
      <c r="B64" s="22" t="s">
        <v>159</v>
      </c>
      <c r="C64" s="116">
        <f t="shared" si="0"/>
        <v>114.41399999999999</v>
      </c>
      <c r="D64" s="117">
        <f>150-20.9-14.686</f>
        <v>114.41399999999999</v>
      </c>
      <c r="E64" s="115"/>
      <c r="F64" s="115"/>
      <c r="G64" s="10"/>
      <c r="H64" s="10"/>
      <c r="I64" s="10"/>
      <c r="J64" s="10"/>
      <c r="K64" s="10"/>
      <c r="L64" s="10"/>
      <c r="IK64" s="10"/>
      <c r="IL64" s="10"/>
      <c r="IM64" s="10"/>
      <c r="IN64" s="10"/>
      <c r="IO64" s="10"/>
      <c r="IP64" s="10"/>
      <c r="IQ64" s="10"/>
      <c r="IR64" s="10"/>
      <c r="IS64" s="10"/>
    </row>
    <row r="65" spans="1:253" s="11" customFormat="1" ht="96" customHeight="1">
      <c r="A65" s="66">
        <v>22012900</v>
      </c>
      <c r="B65" s="364" t="s">
        <v>386</v>
      </c>
      <c r="C65" s="116">
        <f t="shared" si="0"/>
        <v>7.04</v>
      </c>
      <c r="D65" s="117">
        <v>7.04</v>
      </c>
      <c r="E65" s="115"/>
      <c r="F65" s="115"/>
      <c r="G65" s="10"/>
      <c r="H65" s="10"/>
      <c r="I65" s="10"/>
      <c r="J65" s="10"/>
      <c r="K65" s="10"/>
      <c r="L65" s="10"/>
      <c r="IK65" s="10"/>
      <c r="IL65" s="10"/>
      <c r="IM65" s="10"/>
      <c r="IN65" s="10"/>
      <c r="IO65" s="10"/>
      <c r="IP65" s="10"/>
      <c r="IQ65" s="10"/>
      <c r="IR65" s="10"/>
      <c r="IS65" s="10"/>
    </row>
    <row r="66" spans="1:253" s="11" customFormat="1" ht="17.25" customHeight="1">
      <c r="A66" s="66">
        <v>22090000</v>
      </c>
      <c r="B66" s="69" t="s">
        <v>160</v>
      </c>
      <c r="C66" s="116">
        <f t="shared" si="0"/>
        <v>55.896</v>
      </c>
      <c r="D66" s="117">
        <f>D67+D68</f>
        <v>55.896</v>
      </c>
      <c r="E66" s="117"/>
      <c r="F66" s="117"/>
      <c r="G66" s="10"/>
      <c r="H66" s="10"/>
      <c r="I66" s="10"/>
      <c r="J66" s="10"/>
      <c r="K66" s="10"/>
      <c r="L66" s="10"/>
      <c r="IK66" s="10"/>
      <c r="IL66" s="10"/>
      <c r="IM66" s="10"/>
      <c r="IN66" s="10"/>
      <c r="IO66" s="10"/>
      <c r="IP66" s="10"/>
      <c r="IQ66" s="10"/>
      <c r="IR66" s="10"/>
      <c r="IS66" s="10"/>
    </row>
    <row r="67" spans="1:253" s="11" customFormat="1" ht="51" customHeight="1">
      <c r="A67" s="66">
        <v>22090100</v>
      </c>
      <c r="B67" s="22" t="s">
        <v>161</v>
      </c>
      <c r="C67" s="116">
        <f t="shared" si="0"/>
        <v>28.35</v>
      </c>
      <c r="D67" s="117">
        <f>35+2.5-7.392-1.758</f>
        <v>28.35</v>
      </c>
      <c r="E67" s="117"/>
      <c r="F67" s="117"/>
      <c r="G67" s="10"/>
      <c r="H67" s="10"/>
      <c r="I67" s="10"/>
      <c r="J67" s="10"/>
      <c r="K67" s="10"/>
      <c r="L67" s="10"/>
      <c r="IK67" s="10"/>
      <c r="IL67" s="10"/>
      <c r="IM67" s="10"/>
      <c r="IN67" s="10"/>
      <c r="IO67" s="10"/>
      <c r="IP67" s="10"/>
      <c r="IQ67" s="10"/>
      <c r="IR67" s="10"/>
      <c r="IS67" s="10"/>
    </row>
    <row r="68" spans="1:253" s="11" customFormat="1" ht="47.25" customHeight="1">
      <c r="A68" s="66">
        <v>22090400</v>
      </c>
      <c r="B68" s="22" t="s">
        <v>162</v>
      </c>
      <c r="C68" s="116">
        <f t="shared" si="0"/>
        <v>27.546</v>
      </c>
      <c r="D68" s="117">
        <f>35-5.87-1.584</f>
        <v>27.546</v>
      </c>
      <c r="E68" s="117"/>
      <c r="F68" s="117"/>
      <c r="G68" s="10"/>
      <c r="H68" s="10"/>
      <c r="I68" s="10"/>
      <c r="J68" s="10"/>
      <c r="K68" s="10"/>
      <c r="L68" s="10"/>
      <c r="IK68" s="10"/>
      <c r="IL68" s="10"/>
      <c r="IM68" s="10"/>
      <c r="IN68" s="10"/>
      <c r="IO68" s="10"/>
      <c r="IP68" s="10"/>
      <c r="IQ68" s="10"/>
      <c r="IR68" s="10"/>
      <c r="IS68" s="10"/>
    </row>
    <row r="69" spans="1:253" s="11" customFormat="1" ht="20.25" customHeight="1">
      <c r="A69" s="66">
        <v>24000000</v>
      </c>
      <c r="B69" s="69" t="s">
        <v>163</v>
      </c>
      <c r="C69" s="116">
        <f t="shared" si="0"/>
        <v>723.2</v>
      </c>
      <c r="D69" s="117">
        <f>D70</f>
        <v>723.2</v>
      </c>
      <c r="E69" s="117"/>
      <c r="F69" s="117"/>
      <c r="G69" s="10"/>
      <c r="H69" s="10"/>
      <c r="I69" s="10"/>
      <c r="J69" s="10"/>
      <c r="K69" s="10"/>
      <c r="L69" s="10"/>
      <c r="IK69" s="10"/>
      <c r="IL69" s="10"/>
      <c r="IM69" s="10"/>
      <c r="IN69" s="10"/>
      <c r="IO69" s="10"/>
      <c r="IP69" s="10"/>
      <c r="IQ69" s="10"/>
      <c r="IR69" s="10"/>
      <c r="IS69" s="10"/>
    </row>
    <row r="70" spans="1:253" s="11" customFormat="1" ht="15.75">
      <c r="A70" s="66">
        <v>24060000</v>
      </c>
      <c r="B70" s="69" t="s">
        <v>153</v>
      </c>
      <c r="C70" s="116">
        <f t="shared" si="0"/>
        <v>723.2</v>
      </c>
      <c r="D70" s="117">
        <f>D72+D73</f>
        <v>723.2</v>
      </c>
      <c r="E70" s="117"/>
      <c r="F70" s="117"/>
      <c r="G70" s="10"/>
      <c r="H70" s="10"/>
      <c r="I70" s="10"/>
      <c r="J70" s="10"/>
      <c r="K70" s="10"/>
      <c r="L70" s="10"/>
      <c r="IK70" s="10"/>
      <c r="IL70" s="10"/>
      <c r="IM70" s="10"/>
      <c r="IN70" s="10"/>
      <c r="IO70" s="10"/>
      <c r="IP70" s="10"/>
      <c r="IQ70" s="10"/>
      <c r="IR70" s="10"/>
      <c r="IS70" s="10"/>
    </row>
    <row r="71" spans="1:253" s="11" customFormat="1" ht="15.75" hidden="1">
      <c r="A71" s="66">
        <v>24060300</v>
      </c>
      <c r="B71" s="69" t="s">
        <v>153</v>
      </c>
      <c r="C71" s="116">
        <f t="shared" si="0"/>
        <v>0</v>
      </c>
      <c r="D71" s="115"/>
      <c r="E71" s="115"/>
      <c r="F71" s="115"/>
      <c r="G71" s="10"/>
      <c r="H71" s="10"/>
      <c r="I71" s="10"/>
      <c r="J71" s="10"/>
      <c r="K71" s="10"/>
      <c r="L71" s="10"/>
      <c r="IK71" s="10"/>
      <c r="IL71" s="10"/>
      <c r="IM71" s="10"/>
      <c r="IN71" s="10"/>
      <c r="IO71" s="10"/>
      <c r="IP71" s="10"/>
      <c r="IQ71" s="10"/>
      <c r="IR71" s="10"/>
      <c r="IS71" s="10"/>
    </row>
    <row r="72" spans="1:253" s="11" customFormat="1" ht="15.75">
      <c r="A72" s="66">
        <v>24060300</v>
      </c>
      <c r="B72" s="69" t="s">
        <v>153</v>
      </c>
      <c r="C72" s="116">
        <f t="shared" si="0"/>
        <v>686.465</v>
      </c>
      <c r="D72" s="117">
        <f>145.1+559.1-17.735</f>
        <v>686.465</v>
      </c>
      <c r="E72" s="115"/>
      <c r="F72" s="115"/>
      <c r="G72" s="10"/>
      <c r="H72" s="10"/>
      <c r="I72" s="10"/>
      <c r="J72" s="10"/>
      <c r="K72" s="10"/>
      <c r="L72" s="10"/>
      <c r="IK72" s="10"/>
      <c r="IL72" s="10"/>
      <c r="IM72" s="10"/>
      <c r="IN72" s="10"/>
      <c r="IO72" s="10"/>
      <c r="IP72" s="10"/>
      <c r="IQ72" s="10"/>
      <c r="IR72" s="10"/>
      <c r="IS72" s="10"/>
    </row>
    <row r="73" spans="1:253" s="11" customFormat="1" ht="78.75">
      <c r="A73" s="66">
        <v>24062200</v>
      </c>
      <c r="B73" s="22" t="s">
        <v>471</v>
      </c>
      <c r="C73" s="116">
        <f t="shared" si="0"/>
        <v>36.735</v>
      </c>
      <c r="D73" s="117">
        <v>36.735</v>
      </c>
      <c r="E73" s="115"/>
      <c r="F73" s="115"/>
      <c r="G73" s="10"/>
      <c r="H73" s="10"/>
      <c r="I73" s="10"/>
      <c r="J73" s="10"/>
      <c r="K73" s="10"/>
      <c r="L73" s="10"/>
      <c r="IK73" s="10"/>
      <c r="IL73" s="10"/>
      <c r="IM73" s="10"/>
      <c r="IN73" s="10"/>
      <c r="IO73" s="10"/>
      <c r="IP73" s="10"/>
      <c r="IQ73" s="10"/>
      <c r="IR73" s="10"/>
      <c r="IS73" s="10"/>
    </row>
    <row r="74" spans="1:253" s="11" customFormat="1" ht="18.75" customHeight="1">
      <c r="A74" s="65">
        <v>25000000</v>
      </c>
      <c r="B74" s="58" t="s">
        <v>9</v>
      </c>
      <c r="C74" s="113">
        <f t="shared" si="0"/>
        <v>1982.226</v>
      </c>
      <c r="D74" s="116"/>
      <c r="E74" s="113">
        <v>1982.226</v>
      </c>
      <c r="F74" s="116"/>
      <c r="G74" s="10"/>
      <c r="H74" s="10"/>
      <c r="I74" s="10"/>
      <c r="J74" s="10"/>
      <c r="K74" s="10"/>
      <c r="L74" s="10"/>
      <c r="IK74" s="10"/>
      <c r="IL74" s="10"/>
      <c r="IM74" s="10"/>
      <c r="IN74" s="10"/>
      <c r="IO74" s="10"/>
      <c r="IP74" s="10"/>
      <c r="IQ74" s="10"/>
      <c r="IR74" s="10"/>
      <c r="IS74" s="10"/>
    </row>
    <row r="75" spans="1:253" s="11" customFormat="1" ht="33" customHeight="1">
      <c r="A75" s="51"/>
      <c r="B75" s="58" t="s">
        <v>109</v>
      </c>
      <c r="C75" s="113">
        <f t="shared" si="0"/>
        <v>128864.57700000002</v>
      </c>
      <c r="D75" s="115">
        <f>D53+D9</f>
        <v>126794.26200000002</v>
      </c>
      <c r="E75" s="115">
        <f>E74+E49</f>
        <v>2070.315</v>
      </c>
      <c r="F75" s="117">
        <f>F64+F9</f>
        <v>0</v>
      </c>
      <c r="G75" s="10"/>
      <c r="H75" s="10"/>
      <c r="I75" s="10"/>
      <c r="J75" s="10"/>
      <c r="K75" s="10"/>
      <c r="L75" s="10"/>
      <c r="IK75" s="10"/>
      <c r="IL75" s="10"/>
      <c r="IM75" s="10"/>
      <c r="IN75" s="10"/>
      <c r="IO75" s="10"/>
      <c r="IP75" s="10"/>
      <c r="IQ75" s="10"/>
      <c r="IR75" s="10"/>
      <c r="IS75" s="10"/>
    </row>
    <row r="76" spans="1:253" s="96" customFormat="1" ht="15.75" customHeight="1">
      <c r="A76" s="132">
        <v>40000000</v>
      </c>
      <c r="B76" s="133" t="s">
        <v>18</v>
      </c>
      <c r="C76" s="113">
        <f t="shared" si="0"/>
        <v>110772.818</v>
      </c>
      <c r="D76" s="115">
        <f>D77</f>
        <v>104909.394</v>
      </c>
      <c r="E76" s="115">
        <f>E77</f>
        <v>5863.424</v>
      </c>
      <c r="F76" s="115">
        <f>F77</f>
        <v>5673.249</v>
      </c>
      <c r="G76" s="95"/>
      <c r="H76" s="95"/>
      <c r="I76" s="95"/>
      <c r="J76" s="95"/>
      <c r="K76" s="95"/>
      <c r="L76" s="95"/>
      <c r="IK76" s="95"/>
      <c r="IL76" s="95"/>
      <c r="IM76" s="95"/>
      <c r="IN76" s="95"/>
      <c r="IO76" s="95"/>
      <c r="IP76" s="95"/>
      <c r="IQ76" s="95"/>
      <c r="IR76" s="95"/>
      <c r="IS76" s="95"/>
    </row>
    <row r="77" spans="1:253" s="96" customFormat="1" ht="15.75">
      <c r="A77" s="114">
        <v>41000000</v>
      </c>
      <c r="B77" s="136" t="s">
        <v>10</v>
      </c>
      <c r="C77" s="116">
        <f t="shared" si="0"/>
        <v>110772.818</v>
      </c>
      <c r="D77" s="117">
        <f>D78+D80+D88+D91</f>
        <v>104909.394</v>
      </c>
      <c r="E77" s="117">
        <f>E78+E80+E88+E91</f>
        <v>5863.424</v>
      </c>
      <c r="F77" s="117">
        <f>F78+F80+F88+F91</f>
        <v>5673.249</v>
      </c>
      <c r="G77" s="95"/>
      <c r="H77" s="95"/>
      <c r="I77" s="95"/>
      <c r="J77" s="95"/>
      <c r="K77" s="95"/>
      <c r="L77" s="95"/>
      <c r="IK77" s="95"/>
      <c r="IL77" s="95"/>
      <c r="IM77" s="95"/>
      <c r="IN77" s="95"/>
      <c r="IO77" s="95"/>
      <c r="IP77" s="95"/>
      <c r="IQ77" s="95"/>
      <c r="IR77" s="95"/>
      <c r="IS77" s="95"/>
    </row>
    <row r="78" spans="1:253" s="98" customFormat="1" ht="15.75" hidden="1">
      <c r="A78" s="114">
        <v>41020000</v>
      </c>
      <c r="B78" s="136" t="s">
        <v>85</v>
      </c>
      <c r="C78" s="113">
        <f t="shared" si="0"/>
        <v>0</v>
      </c>
      <c r="D78" s="160">
        <f>D79</f>
        <v>0</v>
      </c>
      <c r="E78" s="161"/>
      <c r="F78" s="161"/>
      <c r="G78" s="97"/>
      <c r="H78" s="97"/>
      <c r="I78" s="97"/>
      <c r="J78" s="97"/>
      <c r="K78" s="97"/>
      <c r="L78" s="97"/>
      <c r="IK78" s="97"/>
      <c r="IL78" s="97"/>
      <c r="IM78" s="97"/>
      <c r="IN78" s="97"/>
      <c r="IO78" s="97"/>
      <c r="IP78" s="97"/>
      <c r="IQ78" s="97"/>
      <c r="IR78" s="97"/>
      <c r="IS78" s="97"/>
    </row>
    <row r="79" spans="1:253" s="98" customFormat="1" ht="20.25" customHeight="1" hidden="1">
      <c r="A79" s="114"/>
      <c r="B79" s="136"/>
      <c r="C79" s="116">
        <f t="shared" si="0"/>
        <v>0</v>
      </c>
      <c r="D79" s="161"/>
      <c r="E79" s="161"/>
      <c r="F79" s="161"/>
      <c r="G79" s="97"/>
      <c r="H79" s="97"/>
      <c r="I79" s="97"/>
      <c r="J79" s="97"/>
      <c r="K79" s="97"/>
      <c r="L79" s="97"/>
      <c r="IK79" s="97"/>
      <c r="IL79" s="97"/>
      <c r="IM79" s="97"/>
      <c r="IN79" s="97"/>
      <c r="IO79" s="97"/>
      <c r="IP79" s="97"/>
      <c r="IQ79" s="97"/>
      <c r="IR79" s="97"/>
      <c r="IS79" s="97"/>
    </row>
    <row r="80" spans="1:253" s="98" customFormat="1" ht="15.75">
      <c r="A80" s="114">
        <v>41030000</v>
      </c>
      <c r="B80" s="167" t="s">
        <v>87</v>
      </c>
      <c r="C80" s="113">
        <f t="shared" si="0"/>
        <v>45989.427</v>
      </c>
      <c r="D80" s="160">
        <f>D81+D83+D84+D87+D86+D82</f>
        <v>43828.436</v>
      </c>
      <c r="E80" s="160">
        <f>E81+E83+E84+E87+E86+E82</f>
        <v>2160.991</v>
      </c>
      <c r="F80" s="160">
        <f>F81+F83+F84+F87+F86+F82</f>
        <v>2160.991</v>
      </c>
      <c r="G80" s="97"/>
      <c r="H80" s="97"/>
      <c r="I80" s="412"/>
      <c r="J80" s="412"/>
      <c r="K80" s="97"/>
      <c r="L80" s="97"/>
      <c r="IK80" s="97"/>
      <c r="IL80" s="97"/>
      <c r="IM80" s="97"/>
      <c r="IN80" s="97"/>
      <c r="IO80" s="97"/>
      <c r="IP80" s="97"/>
      <c r="IQ80" s="97"/>
      <c r="IR80" s="97"/>
      <c r="IS80" s="97"/>
    </row>
    <row r="81" spans="1:253" s="98" customFormat="1" ht="15.75" customHeight="1" hidden="1">
      <c r="A81" s="114"/>
      <c r="B81" s="163"/>
      <c r="C81" s="116"/>
      <c r="D81" s="161"/>
      <c r="E81" s="161"/>
      <c r="F81" s="161"/>
      <c r="G81" s="97"/>
      <c r="H81" s="97"/>
      <c r="I81" s="97"/>
      <c r="J81" s="97"/>
      <c r="K81" s="97"/>
      <c r="L81" s="97"/>
      <c r="IK81" s="97"/>
      <c r="IL81" s="97"/>
      <c r="IM81" s="97"/>
      <c r="IN81" s="97"/>
      <c r="IO81" s="97"/>
      <c r="IP81" s="97"/>
      <c r="IQ81" s="97"/>
      <c r="IR81" s="97"/>
      <c r="IS81" s="97"/>
    </row>
    <row r="82" spans="1:253" s="98" customFormat="1" ht="47.25" customHeight="1">
      <c r="A82" s="114">
        <v>41031400</v>
      </c>
      <c r="B82" s="163" t="s">
        <v>443</v>
      </c>
      <c r="C82" s="116">
        <f aca="true" t="shared" si="1" ref="C82:C90">D82+E82</f>
        <v>2593.19</v>
      </c>
      <c r="D82" s="161">
        <f>440-7.801</f>
        <v>432.199</v>
      </c>
      <c r="E82" s="161">
        <f>2200-39.009</f>
        <v>2160.991</v>
      </c>
      <c r="F82" s="161">
        <f>2200-39.009</f>
        <v>2160.991</v>
      </c>
      <c r="G82" s="97"/>
      <c r="H82" s="97"/>
      <c r="I82" s="97"/>
      <c r="J82" s="97"/>
      <c r="K82" s="97"/>
      <c r="L82" s="97"/>
      <c r="IK82" s="97"/>
      <c r="IL82" s="97"/>
      <c r="IM82" s="97"/>
      <c r="IN82" s="97"/>
      <c r="IO82" s="97"/>
      <c r="IP82" s="97"/>
      <c r="IQ82" s="97"/>
      <c r="IR82" s="97"/>
      <c r="IS82" s="97"/>
    </row>
    <row r="83" spans="1:253" s="98" customFormat="1" ht="30" customHeight="1">
      <c r="A83" s="114">
        <v>41033900</v>
      </c>
      <c r="B83" s="165" t="s">
        <v>20</v>
      </c>
      <c r="C83" s="116">
        <f t="shared" si="1"/>
        <v>42911.5</v>
      </c>
      <c r="D83" s="161">
        <v>42911.5</v>
      </c>
      <c r="E83" s="161"/>
      <c r="F83" s="161"/>
      <c r="G83" s="97"/>
      <c r="H83" s="97"/>
      <c r="I83" s="97"/>
      <c r="J83" s="97"/>
      <c r="K83" s="97"/>
      <c r="L83" s="97"/>
      <c r="IK83" s="97"/>
      <c r="IL83" s="97"/>
      <c r="IM83" s="97"/>
      <c r="IN83" s="97"/>
      <c r="IO83" s="97"/>
      <c r="IP83" s="97"/>
      <c r="IQ83" s="97"/>
      <c r="IR83" s="97"/>
      <c r="IS83" s="97"/>
    </row>
    <row r="84" spans="1:253" s="98" customFormat="1" ht="62.25" customHeight="1">
      <c r="A84" s="114">
        <v>41035500</v>
      </c>
      <c r="B84" s="165" t="s">
        <v>392</v>
      </c>
      <c r="C84" s="116">
        <f t="shared" si="1"/>
        <v>484.737</v>
      </c>
      <c r="D84" s="161">
        <v>484.737</v>
      </c>
      <c r="E84" s="161"/>
      <c r="F84" s="161"/>
      <c r="G84" s="97"/>
      <c r="H84" s="97"/>
      <c r="I84" s="97"/>
      <c r="J84" s="97"/>
      <c r="K84" s="97"/>
      <c r="L84" s="97"/>
      <c r="IK84" s="97"/>
      <c r="IL84" s="97"/>
      <c r="IM84" s="97"/>
      <c r="IN84" s="97"/>
      <c r="IO84" s="97"/>
      <c r="IP84" s="97"/>
      <c r="IQ84" s="97"/>
      <c r="IR84" s="97"/>
      <c r="IS84" s="97"/>
    </row>
    <row r="85" spans="1:253" s="98" customFormat="1" ht="15.75" customHeight="1" hidden="1">
      <c r="A85" s="448"/>
      <c r="B85" s="449"/>
      <c r="C85" s="449"/>
      <c r="D85" s="449"/>
      <c r="E85" s="449"/>
      <c r="F85" s="450"/>
      <c r="G85" s="97"/>
      <c r="H85" s="97"/>
      <c r="I85" s="97"/>
      <c r="J85" s="97"/>
      <c r="K85" s="97"/>
      <c r="L85" s="97"/>
      <c r="IK85" s="97"/>
      <c r="IL85" s="97"/>
      <c r="IM85" s="97"/>
      <c r="IN85" s="97"/>
      <c r="IO85" s="97"/>
      <c r="IP85" s="97"/>
      <c r="IQ85" s="97"/>
      <c r="IR85" s="97"/>
      <c r="IS85" s="97"/>
    </row>
    <row r="86" spans="1:253" s="98" customFormat="1" ht="15.75" customHeight="1" hidden="1">
      <c r="A86" s="114"/>
      <c r="B86" s="166"/>
      <c r="C86" s="116"/>
      <c r="D86" s="161"/>
      <c r="E86" s="161"/>
      <c r="F86" s="161"/>
      <c r="G86" s="97"/>
      <c r="H86" s="97"/>
      <c r="I86" s="97"/>
      <c r="J86" s="97"/>
      <c r="K86" s="97"/>
      <c r="L86" s="97"/>
      <c r="IK86" s="97"/>
      <c r="IL86" s="97"/>
      <c r="IM86" s="97"/>
      <c r="IN86" s="97"/>
      <c r="IO86" s="97"/>
      <c r="IP86" s="97"/>
      <c r="IQ86" s="97"/>
      <c r="IR86" s="97"/>
      <c r="IS86" s="97"/>
    </row>
    <row r="87" spans="1:253" s="98" customFormat="1" ht="15.75" customHeight="1" hidden="1">
      <c r="A87" s="114"/>
      <c r="B87" s="166"/>
      <c r="C87" s="116"/>
      <c r="D87" s="161"/>
      <c r="E87" s="161"/>
      <c r="F87" s="161"/>
      <c r="G87" s="97"/>
      <c r="H87" s="97"/>
      <c r="I87" s="97"/>
      <c r="J87" s="97"/>
      <c r="K87" s="97"/>
      <c r="L87" s="97"/>
      <c r="IK87" s="97"/>
      <c r="IL87" s="97"/>
      <c r="IM87" s="97"/>
      <c r="IN87" s="97"/>
      <c r="IO87" s="97"/>
      <c r="IP87" s="97"/>
      <c r="IQ87" s="97"/>
      <c r="IR87" s="97"/>
      <c r="IS87" s="97"/>
    </row>
    <row r="88" spans="1:253" s="98" customFormat="1" ht="18.75" customHeight="1">
      <c r="A88" s="114">
        <v>41040000</v>
      </c>
      <c r="B88" s="167" t="s">
        <v>88</v>
      </c>
      <c r="C88" s="113">
        <f t="shared" si="1"/>
        <v>32687.479</v>
      </c>
      <c r="D88" s="160">
        <f>D89+D90</f>
        <v>32687.479</v>
      </c>
      <c r="E88" s="161"/>
      <c r="F88" s="161"/>
      <c r="G88" s="97"/>
      <c r="H88" s="97"/>
      <c r="I88" s="97"/>
      <c r="J88" s="97"/>
      <c r="K88" s="97"/>
      <c r="L88" s="97"/>
      <c r="IK88" s="97"/>
      <c r="IL88" s="97"/>
      <c r="IM88" s="97"/>
      <c r="IN88" s="97"/>
      <c r="IO88" s="97"/>
      <c r="IP88" s="97"/>
      <c r="IQ88" s="97"/>
      <c r="IR88" s="97"/>
      <c r="IS88" s="97"/>
    </row>
    <row r="89" spans="1:253" s="98" customFormat="1" ht="66.75" customHeight="1">
      <c r="A89" s="114">
        <v>41040200</v>
      </c>
      <c r="B89" s="136" t="s">
        <v>89</v>
      </c>
      <c r="C89" s="116">
        <f t="shared" si="1"/>
        <v>1367.1</v>
      </c>
      <c r="D89" s="161">
        <f>2176.6-809.5</f>
        <v>1367.1</v>
      </c>
      <c r="E89" s="161"/>
      <c r="F89" s="161"/>
      <c r="G89" s="97"/>
      <c r="H89" s="97"/>
      <c r="I89" s="97"/>
      <c r="J89" s="97"/>
      <c r="K89" s="97"/>
      <c r="L89" s="97"/>
      <c r="IK89" s="97"/>
      <c r="IL89" s="97"/>
      <c r="IM89" s="97"/>
      <c r="IN89" s="97"/>
      <c r="IO89" s="97"/>
      <c r="IP89" s="97"/>
      <c r="IQ89" s="97"/>
      <c r="IR89" s="97"/>
      <c r="IS89" s="97"/>
    </row>
    <row r="90" spans="1:253" s="98" customFormat="1" ht="23.25" customHeight="1">
      <c r="A90" s="114">
        <v>41040400</v>
      </c>
      <c r="B90" s="136" t="s">
        <v>170</v>
      </c>
      <c r="C90" s="116">
        <f t="shared" si="1"/>
        <v>31320.379</v>
      </c>
      <c r="D90" s="161">
        <f>24619.969+5452.156+470.079+548.553+78.351+151.271</f>
        <v>31320.379</v>
      </c>
      <c r="E90" s="161"/>
      <c r="F90" s="161"/>
      <c r="G90" s="97"/>
      <c r="H90" s="97"/>
      <c r="I90" s="97"/>
      <c r="J90" s="97"/>
      <c r="K90" s="97"/>
      <c r="L90" s="97"/>
      <c r="IK90" s="97"/>
      <c r="IL90" s="97"/>
      <c r="IM90" s="97"/>
      <c r="IN90" s="97"/>
      <c r="IO90" s="97"/>
      <c r="IP90" s="97"/>
      <c r="IQ90" s="97"/>
      <c r="IR90" s="97"/>
      <c r="IS90" s="97"/>
    </row>
    <row r="91" spans="1:253" s="98" customFormat="1" ht="15.75">
      <c r="A91" s="114">
        <v>41050000</v>
      </c>
      <c r="B91" s="136" t="s">
        <v>86</v>
      </c>
      <c r="C91" s="113">
        <f t="shared" si="0"/>
        <v>32095.912</v>
      </c>
      <c r="D91" s="160">
        <f>SUM(D93:D105)</f>
        <v>28393.479</v>
      </c>
      <c r="E91" s="160">
        <f>SUM(E93:E105)</f>
        <v>3702.433</v>
      </c>
      <c r="F91" s="160">
        <f>SUM(F93:F105)</f>
        <v>3512.258</v>
      </c>
      <c r="G91" s="97"/>
      <c r="H91" s="97"/>
      <c r="I91" s="97"/>
      <c r="J91" s="97"/>
      <c r="K91" s="97"/>
      <c r="L91" s="97"/>
      <c r="IK91" s="97"/>
      <c r="IL91" s="97"/>
      <c r="IM91" s="97"/>
      <c r="IN91" s="97"/>
      <c r="IO91" s="97"/>
      <c r="IP91" s="97"/>
      <c r="IQ91" s="97"/>
      <c r="IR91" s="97"/>
      <c r="IS91" s="97"/>
    </row>
    <row r="92" spans="1:253" s="98" customFormat="1" ht="15.75">
      <c r="A92" s="114"/>
      <c r="B92" s="162" t="s">
        <v>19</v>
      </c>
      <c r="C92" s="113">
        <f t="shared" si="0"/>
        <v>0</v>
      </c>
      <c r="D92" s="161"/>
      <c r="E92" s="161"/>
      <c r="F92" s="161"/>
      <c r="G92" s="97"/>
      <c r="H92" s="97"/>
      <c r="I92" s="97"/>
      <c r="J92" s="97"/>
      <c r="K92" s="97"/>
      <c r="L92" s="97"/>
      <c r="IK92" s="97"/>
      <c r="IL92" s="97"/>
      <c r="IM92" s="97"/>
      <c r="IN92" s="97"/>
      <c r="IO92" s="97"/>
      <c r="IP92" s="97"/>
      <c r="IQ92" s="97"/>
      <c r="IR92" s="97"/>
      <c r="IS92" s="97"/>
    </row>
    <row r="93" spans="1:253" s="98" customFormat="1" ht="15.75" hidden="1">
      <c r="A93" s="114"/>
      <c r="B93" s="162"/>
      <c r="C93" s="113"/>
      <c r="D93" s="161"/>
      <c r="E93" s="161"/>
      <c r="F93" s="161"/>
      <c r="G93" s="97"/>
      <c r="H93" s="97"/>
      <c r="I93" s="97"/>
      <c r="J93" s="97"/>
      <c r="K93" s="97"/>
      <c r="L93" s="97"/>
      <c r="IK93" s="97"/>
      <c r="IL93" s="97"/>
      <c r="IM93" s="97"/>
      <c r="IN93" s="97"/>
      <c r="IO93" s="97"/>
      <c r="IP93" s="97"/>
      <c r="IQ93" s="97"/>
      <c r="IR93" s="97"/>
      <c r="IS93" s="97"/>
    </row>
    <row r="94" spans="1:253" s="98" customFormat="1" ht="15.75" customHeight="1" hidden="1">
      <c r="A94" s="114"/>
      <c r="B94" s="136"/>
      <c r="C94" s="116"/>
      <c r="D94" s="161"/>
      <c r="E94" s="161"/>
      <c r="F94" s="161"/>
      <c r="G94" s="97"/>
      <c r="H94" s="97"/>
      <c r="I94" s="97"/>
      <c r="J94" s="97"/>
      <c r="K94" s="97"/>
      <c r="L94" s="97"/>
      <c r="IK94" s="97"/>
      <c r="IL94" s="97"/>
      <c r="IM94" s="97"/>
      <c r="IN94" s="97"/>
      <c r="IO94" s="97"/>
      <c r="IP94" s="97"/>
      <c r="IQ94" s="97"/>
      <c r="IR94" s="97"/>
      <c r="IS94" s="97"/>
    </row>
    <row r="95" spans="1:253" s="98" customFormat="1" ht="121.5" customHeight="1">
      <c r="A95" s="114">
        <v>41050900</v>
      </c>
      <c r="B95" s="165" t="s">
        <v>435</v>
      </c>
      <c r="C95" s="116">
        <f t="shared" si="0"/>
        <v>709.711</v>
      </c>
      <c r="D95" s="161">
        <f>417.477+292.234</f>
        <v>709.711</v>
      </c>
      <c r="E95" s="161"/>
      <c r="F95" s="161"/>
      <c r="G95" s="97"/>
      <c r="H95" s="97"/>
      <c r="I95" s="97"/>
      <c r="J95" s="97"/>
      <c r="K95" s="97"/>
      <c r="L95" s="97"/>
      <c r="IK95" s="97"/>
      <c r="IL95" s="97"/>
      <c r="IM95" s="97"/>
      <c r="IN95" s="97"/>
      <c r="IO95" s="97"/>
      <c r="IP95" s="97"/>
      <c r="IQ95" s="97"/>
      <c r="IR95" s="97"/>
      <c r="IS95" s="97"/>
    </row>
    <row r="96" spans="1:253" s="98" customFormat="1" ht="47.25" customHeight="1">
      <c r="A96" s="114">
        <v>41051000</v>
      </c>
      <c r="B96" s="136" t="s">
        <v>98</v>
      </c>
      <c r="C96" s="116">
        <f t="shared" si="0"/>
        <v>24641.625000000004</v>
      </c>
      <c r="D96" s="161">
        <f>26198.699+43.573-150.671+110.147+31.577+11.609+27.631-1657.397+26.457</f>
        <v>24641.625000000004</v>
      </c>
      <c r="E96" s="161"/>
      <c r="F96" s="161"/>
      <c r="G96" s="97"/>
      <c r="H96" s="97"/>
      <c r="I96" s="97"/>
      <c r="J96" s="97"/>
      <c r="K96" s="97"/>
      <c r="L96" s="97"/>
      <c r="IK96" s="97"/>
      <c r="IL96" s="97"/>
      <c r="IM96" s="97"/>
      <c r="IN96" s="97"/>
      <c r="IO96" s="97"/>
      <c r="IP96" s="97"/>
      <c r="IQ96" s="97"/>
      <c r="IR96" s="97"/>
      <c r="IS96" s="97"/>
    </row>
    <row r="97" spans="1:253" s="98" customFormat="1" ht="47.25" customHeight="1">
      <c r="A97" s="156">
        <v>41051100</v>
      </c>
      <c r="B97" s="158" t="s">
        <v>459</v>
      </c>
      <c r="C97" s="116">
        <f t="shared" si="0"/>
        <v>231.315</v>
      </c>
      <c r="D97" s="170">
        <v>231.315</v>
      </c>
      <c r="E97" s="170"/>
      <c r="F97" s="170"/>
      <c r="G97" s="97"/>
      <c r="H97" s="97"/>
      <c r="I97" s="97"/>
      <c r="J97" s="97"/>
      <c r="K97" s="97"/>
      <c r="L97" s="97"/>
      <c r="IK97" s="97"/>
      <c r="IL97" s="97"/>
      <c r="IM97" s="97"/>
      <c r="IN97" s="97"/>
      <c r="IO97" s="97"/>
      <c r="IP97" s="97"/>
      <c r="IQ97" s="97"/>
      <c r="IR97" s="97"/>
      <c r="IS97" s="97"/>
    </row>
    <row r="98" spans="1:253" s="98" customFormat="1" ht="51.75" customHeight="1">
      <c r="A98" s="156">
        <v>41051200</v>
      </c>
      <c r="B98" s="168" t="s">
        <v>112</v>
      </c>
      <c r="C98" s="169">
        <f t="shared" si="0"/>
        <v>566.1809999999999</v>
      </c>
      <c r="D98" s="170">
        <f>583.911-17.73</f>
        <v>566.1809999999999</v>
      </c>
      <c r="E98" s="170"/>
      <c r="F98" s="170"/>
      <c r="G98" s="97"/>
      <c r="H98" s="97"/>
      <c r="I98" s="97"/>
      <c r="J98" s="97"/>
      <c r="K98" s="97"/>
      <c r="L98" s="97"/>
      <c r="IK98" s="97"/>
      <c r="IL98" s="97"/>
      <c r="IM98" s="97"/>
      <c r="IN98" s="97"/>
      <c r="IO98" s="97"/>
      <c r="IP98" s="97"/>
      <c r="IQ98" s="97"/>
      <c r="IR98" s="97"/>
      <c r="IS98" s="97"/>
    </row>
    <row r="99" spans="1:253" s="98" customFormat="1" ht="15.75" customHeight="1" hidden="1">
      <c r="A99" s="114"/>
      <c r="B99" s="162"/>
      <c r="C99" s="116"/>
      <c r="D99" s="161"/>
      <c r="E99" s="161"/>
      <c r="F99" s="161"/>
      <c r="G99" s="97"/>
      <c r="H99" s="97"/>
      <c r="I99" s="97"/>
      <c r="J99" s="97"/>
      <c r="K99" s="97"/>
      <c r="L99" s="97"/>
      <c r="IK99" s="97"/>
      <c r="IL99" s="97"/>
      <c r="IM99" s="97"/>
      <c r="IN99" s="97"/>
      <c r="IO99" s="97"/>
      <c r="IP99" s="97"/>
      <c r="IQ99" s="97"/>
      <c r="IR99" s="97"/>
      <c r="IS99" s="97"/>
    </row>
    <row r="100" spans="1:253" s="98" customFormat="1" ht="15.75" customHeight="1" hidden="1">
      <c r="A100" s="114"/>
      <c r="B100" s="136"/>
      <c r="C100" s="116"/>
      <c r="D100" s="161"/>
      <c r="E100" s="161"/>
      <c r="F100" s="161"/>
      <c r="G100" s="97"/>
      <c r="H100" s="97"/>
      <c r="I100" s="97"/>
      <c r="J100" s="97"/>
      <c r="K100" s="97"/>
      <c r="L100" s="97"/>
      <c r="IK100" s="97"/>
      <c r="IL100" s="97"/>
      <c r="IM100" s="97"/>
      <c r="IN100" s="97"/>
      <c r="IO100" s="97"/>
      <c r="IP100" s="97"/>
      <c r="IQ100" s="97"/>
      <c r="IR100" s="97"/>
      <c r="IS100" s="97"/>
    </row>
    <row r="101" spans="1:253" s="98" customFormat="1" ht="15.75" customHeight="1" hidden="1">
      <c r="A101" s="114"/>
      <c r="B101" s="166"/>
      <c r="C101" s="116"/>
      <c r="D101" s="161"/>
      <c r="E101" s="161"/>
      <c r="F101" s="161"/>
      <c r="G101" s="97"/>
      <c r="H101" s="97"/>
      <c r="I101" s="97"/>
      <c r="J101" s="97"/>
      <c r="K101" s="97"/>
      <c r="L101" s="97"/>
      <c r="IK101" s="97"/>
      <c r="IL101" s="97"/>
      <c r="IM101" s="97"/>
      <c r="IN101" s="97"/>
      <c r="IO101" s="97"/>
      <c r="IP101" s="97"/>
      <c r="IQ101" s="97"/>
      <c r="IR101" s="97"/>
      <c r="IS101" s="97"/>
    </row>
    <row r="102" spans="1:253" s="98" customFormat="1" ht="69.75" customHeight="1">
      <c r="A102" s="114">
        <v>41051400</v>
      </c>
      <c r="B102" s="343" t="s">
        <v>300</v>
      </c>
      <c r="C102" s="169">
        <f t="shared" si="0"/>
        <v>851.638</v>
      </c>
      <c r="D102" s="161">
        <f>930.365-78.727</f>
        <v>851.638</v>
      </c>
      <c r="E102" s="161"/>
      <c r="F102" s="161"/>
      <c r="G102" s="97"/>
      <c r="H102" s="97"/>
      <c r="I102" s="97"/>
      <c r="J102" s="97"/>
      <c r="K102" s="97"/>
      <c r="L102" s="97"/>
      <c r="IK102" s="97"/>
      <c r="IL102" s="97"/>
      <c r="IM102" s="97"/>
      <c r="IN102" s="97"/>
      <c r="IO102" s="97"/>
      <c r="IP102" s="97"/>
      <c r="IQ102" s="97"/>
      <c r="IR102" s="97"/>
      <c r="IS102" s="97"/>
    </row>
    <row r="103" spans="1:253" s="98" customFormat="1" ht="15.75" customHeight="1">
      <c r="A103" s="114">
        <v>41053900</v>
      </c>
      <c r="B103" s="167" t="s">
        <v>90</v>
      </c>
      <c r="C103" s="116">
        <f t="shared" si="0"/>
        <v>3643.0769999999998</v>
      </c>
      <c r="D103" s="161">
        <f>47.072+83.747</f>
        <v>130.81900000000002</v>
      </c>
      <c r="E103" s="161">
        <v>3512.258</v>
      </c>
      <c r="F103" s="161">
        <v>3512.258</v>
      </c>
      <c r="G103" s="97"/>
      <c r="H103" s="97"/>
      <c r="I103" s="97"/>
      <c r="J103" s="97"/>
      <c r="K103" s="97"/>
      <c r="L103" s="97"/>
      <c r="IK103" s="97"/>
      <c r="IL103" s="97"/>
      <c r="IM103" s="97"/>
      <c r="IN103" s="97"/>
      <c r="IO103" s="97"/>
      <c r="IP103" s="97"/>
      <c r="IQ103" s="97"/>
      <c r="IR103" s="97"/>
      <c r="IS103" s="97"/>
    </row>
    <row r="104" spans="1:253" s="98" customFormat="1" ht="15.75" customHeight="1" hidden="1">
      <c r="A104" s="114"/>
      <c r="B104" s="164"/>
      <c r="C104" s="116">
        <f t="shared" si="0"/>
        <v>0</v>
      </c>
      <c r="D104" s="161"/>
      <c r="E104" s="161"/>
      <c r="F104" s="161"/>
      <c r="G104" s="97"/>
      <c r="H104" s="97"/>
      <c r="I104" s="97"/>
      <c r="J104" s="97"/>
      <c r="K104" s="97"/>
      <c r="L104" s="97"/>
      <c r="IK104" s="97"/>
      <c r="IL104" s="97"/>
      <c r="IM104" s="97"/>
      <c r="IN104" s="97"/>
      <c r="IO104" s="97"/>
      <c r="IP104" s="97"/>
      <c r="IQ104" s="97"/>
      <c r="IR104" s="97"/>
      <c r="IS104" s="97"/>
    </row>
    <row r="105" spans="1:253" s="98" customFormat="1" ht="55.5" customHeight="1">
      <c r="A105" s="114">
        <v>41055000</v>
      </c>
      <c r="B105" s="164" t="s">
        <v>260</v>
      </c>
      <c r="C105" s="116">
        <f t="shared" si="0"/>
        <v>1452.365</v>
      </c>
      <c r="D105" s="161">
        <f>1222.146+562.975-522.931</f>
        <v>1262.19</v>
      </c>
      <c r="E105" s="161">
        <f>82.272+107.903</f>
        <v>190.175</v>
      </c>
      <c r="F105" s="161"/>
      <c r="G105" s="97"/>
      <c r="H105" s="97"/>
      <c r="I105" s="97"/>
      <c r="J105" s="97"/>
      <c r="K105" s="97"/>
      <c r="L105" s="97"/>
      <c r="IK105" s="97"/>
      <c r="IL105" s="97"/>
      <c r="IM105" s="97"/>
      <c r="IN105" s="97"/>
      <c r="IO105" s="97"/>
      <c r="IP105" s="97"/>
      <c r="IQ105" s="97"/>
      <c r="IR105" s="97"/>
      <c r="IS105" s="97"/>
    </row>
    <row r="106" spans="1:6" ht="15.75">
      <c r="A106" s="171"/>
      <c r="B106" s="172" t="s">
        <v>17</v>
      </c>
      <c r="C106" s="113">
        <f t="shared" si="0"/>
        <v>239637.39500000002</v>
      </c>
      <c r="D106" s="160">
        <f>D76+D75</f>
        <v>231703.65600000002</v>
      </c>
      <c r="E106" s="160">
        <f>E76+E75</f>
        <v>7933.739</v>
      </c>
      <c r="F106" s="160">
        <f>F76+F75</f>
        <v>5673.249</v>
      </c>
    </row>
    <row r="107" spans="1:6" ht="15.75">
      <c r="A107" s="239"/>
      <c r="B107" s="240"/>
      <c r="C107" s="241"/>
      <c r="D107" s="242"/>
      <c r="E107" s="242"/>
      <c r="F107" s="243"/>
    </row>
    <row r="108" spans="1:6" ht="47.25" customHeight="1">
      <c r="A108" s="239" t="s">
        <v>390</v>
      </c>
      <c r="B108" s="4"/>
      <c r="C108" s="444" t="s">
        <v>391</v>
      </c>
      <c r="D108" s="444"/>
      <c r="E108" s="444"/>
      <c r="F108" s="365"/>
    </row>
    <row r="109" spans="1:6" ht="15.75">
      <c r="A109" s="239"/>
      <c r="B109" s="240"/>
      <c r="C109" s="241"/>
      <c r="D109" s="242"/>
      <c r="E109" s="242"/>
      <c r="F109" s="243"/>
    </row>
    <row r="110" spans="1:6" ht="15.75">
      <c r="A110" s="239"/>
      <c r="B110" s="240"/>
      <c r="C110" s="241"/>
      <c r="D110" s="242"/>
      <c r="E110" s="242"/>
      <c r="F110" s="243"/>
    </row>
    <row r="111" spans="1:6" ht="15.75">
      <c r="A111" s="46"/>
      <c r="B111" s="46"/>
      <c r="C111" s="53"/>
      <c r="D111" s="54"/>
      <c r="E111" s="46"/>
      <c r="F111" s="46"/>
    </row>
    <row r="112" spans="1:8" ht="15.75">
      <c r="A112" s="46"/>
      <c r="B112" s="13"/>
      <c r="C112" s="56"/>
      <c r="D112" s="90"/>
      <c r="E112" s="90"/>
      <c r="F112" s="3"/>
      <c r="G112" s="90"/>
      <c r="H112" s="91"/>
    </row>
    <row r="113" spans="1:6" ht="15.75">
      <c r="A113" s="46"/>
      <c r="B113" s="55"/>
      <c r="C113" s="153"/>
      <c r="D113" s="54"/>
      <c r="E113" s="54"/>
      <c r="F113" s="46"/>
    </row>
    <row r="114" spans="1:6" ht="15.75">
      <c r="A114" s="46"/>
      <c r="B114" s="55"/>
      <c r="C114" s="46"/>
      <c r="D114" s="46"/>
      <c r="E114" s="46"/>
      <c r="F114" s="46"/>
    </row>
  </sheetData>
  <sheetProtection/>
  <mergeCells count="10">
    <mergeCell ref="C108:E108"/>
    <mergeCell ref="D1:F1"/>
    <mergeCell ref="A3:F3"/>
    <mergeCell ref="A85:F85"/>
    <mergeCell ref="D2:F2"/>
    <mergeCell ref="A6:A7"/>
    <mergeCell ref="E6:F6"/>
    <mergeCell ref="D6:D7"/>
    <mergeCell ref="C6:C7"/>
    <mergeCell ref="B6:B7"/>
  </mergeCells>
  <printOptions horizontalCentered="1"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scale="55" r:id="rId2"/>
  <headerFooter differentFirst="1" alignWithMargins="0">
    <oddHeader>&amp;C&amp;P&amp;Rпродовження Додатка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85" zoomScaleNormal="85" zoomScalePageLayoutView="0" workbookViewId="0" topLeftCell="A1">
      <selection activeCell="A1" sqref="A1"/>
    </sheetView>
  </sheetViews>
  <sheetFormatPr defaultColWidth="8.83203125" defaultRowHeight="12.75"/>
  <cols>
    <col min="1" max="1" width="15.16015625" style="102" customWidth="1"/>
    <col min="2" max="2" width="61" style="102" customWidth="1"/>
    <col min="3" max="3" width="24.16015625" style="102" customWidth="1"/>
    <col min="4" max="4" width="20.66015625" style="102" customWidth="1"/>
    <col min="5" max="5" width="17.83203125" style="102" customWidth="1"/>
    <col min="6" max="6" width="18.66015625" style="102" customWidth="1"/>
    <col min="7" max="16384" width="8.83203125" style="102" customWidth="1"/>
  </cols>
  <sheetData>
    <row r="1" spans="1:8" ht="80.25" customHeight="1">
      <c r="A1" s="1" t="s">
        <v>490</v>
      </c>
      <c r="B1" s="17"/>
      <c r="C1" s="17"/>
      <c r="D1" s="19"/>
      <c r="E1" s="454" t="s">
        <v>294</v>
      </c>
      <c r="F1" s="455"/>
      <c r="G1" s="137"/>
      <c r="H1" s="137"/>
    </row>
    <row r="2" spans="1:6" ht="12.75">
      <c r="A2" s="16"/>
      <c r="B2" s="17"/>
      <c r="C2" s="17"/>
      <c r="D2" s="19"/>
      <c r="E2" s="452"/>
      <c r="F2" s="453"/>
    </row>
    <row r="3" spans="1:6" ht="12.75">
      <c r="A3" s="16"/>
      <c r="B3" s="458"/>
      <c r="C3" s="458"/>
      <c r="D3" s="458"/>
      <c r="E3" s="17"/>
      <c r="F3" s="18"/>
    </row>
    <row r="4" spans="1:6" ht="18.75">
      <c r="A4" s="459" t="s">
        <v>235</v>
      </c>
      <c r="B4" s="459"/>
      <c r="C4" s="459"/>
      <c r="D4" s="459"/>
      <c r="E4" s="459"/>
      <c r="F4" s="459"/>
    </row>
    <row r="5" spans="1:6" ht="15.75">
      <c r="A5" s="285"/>
      <c r="B5" s="285"/>
      <c r="C5" s="285"/>
      <c r="D5" s="285"/>
      <c r="E5" s="285"/>
      <c r="F5" s="285"/>
    </row>
    <row r="6" spans="1:6" ht="12.75">
      <c r="A6" s="291">
        <v>12523000000</v>
      </c>
      <c r="B6" s="20"/>
      <c r="C6" s="20"/>
      <c r="D6" s="20"/>
      <c r="E6" s="20"/>
      <c r="F6" s="20"/>
    </row>
    <row r="7" spans="1:6" ht="12.75">
      <c r="A7" s="290" t="s">
        <v>120</v>
      </c>
      <c r="B7" s="17"/>
      <c r="C7" s="17"/>
      <c r="D7" s="17"/>
      <c r="E7" s="21"/>
      <c r="F7" s="21" t="s">
        <v>60</v>
      </c>
    </row>
    <row r="8" spans="1:6" ht="15.75">
      <c r="A8" s="456" t="s">
        <v>37</v>
      </c>
      <c r="B8" s="456" t="s">
        <v>108</v>
      </c>
      <c r="C8" s="456" t="s">
        <v>104</v>
      </c>
      <c r="D8" s="460" t="s">
        <v>2</v>
      </c>
      <c r="E8" s="462" t="s">
        <v>3</v>
      </c>
      <c r="F8" s="462"/>
    </row>
    <row r="9" spans="1:6" ht="47.25">
      <c r="A9" s="457"/>
      <c r="B9" s="457"/>
      <c r="C9" s="457"/>
      <c r="D9" s="461"/>
      <c r="E9" s="107" t="s">
        <v>105</v>
      </c>
      <c r="F9" s="107" t="s">
        <v>107</v>
      </c>
    </row>
    <row r="10" spans="1:6" ht="15.75">
      <c r="A10" s="24">
        <v>1</v>
      </c>
      <c r="B10" s="25">
        <v>2</v>
      </c>
      <c r="C10" s="25"/>
      <c r="D10" s="25">
        <v>3</v>
      </c>
      <c r="E10" s="25">
        <v>4</v>
      </c>
      <c r="F10" s="25">
        <v>5</v>
      </c>
    </row>
    <row r="11" spans="1:6" s="106" customFormat="1" ht="27.75" customHeight="1">
      <c r="A11" s="293" t="s">
        <v>38</v>
      </c>
      <c r="B11" s="292" t="s">
        <v>39</v>
      </c>
      <c r="C11" s="403">
        <f aca="true" t="shared" si="0" ref="C11:C32">D11+E11</f>
        <v>19085.814</v>
      </c>
      <c r="D11" s="406">
        <f>+D12+D15</f>
        <v>5164.341999999999</v>
      </c>
      <c r="E11" s="403">
        <f>+E12+E15</f>
        <v>13921.472000000002</v>
      </c>
      <c r="F11" s="403">
        <f>+F12+F15</f>
        <v>13815.661</v>
      </c>
    </row>
    <row r="12" spans="1:6" s="106" customFormat="1" ht="31.5" hidden="1">
      <c r="A12" s="294" t="s">
        <v>40</v>
      </c>
      <c r="B12" s="38" t="s">
        <v>41</v>
      </c>
      <c r="C12" s="403">
        <f t="shared" si="0"/>
        <v>0</v>
      </c>
      <c r="D12" s="404">
        <f>+D13</f>
        <v>0</v>
      </c>
      <c r="E12" s="405">
        <f>+E14</f>
        <v>0</v>
      </c>
      <c r="F12" s="405">
        <f>+F14</f>
        <v>0</v>
      </c>
    </row>
    <row r="13" spans="1:6" s="106" customFormat="1" ht="30.75" customHeight="1" hidden="1">
      <c r="A13" s="294">
        <v>205320</v>
      </c>
      <c r="B13" s="38" t="s">
        <v>42</v>
      </c>
      <c r="C13" s="403">
        <f t="shared" si="0"/>
        <v>0</v>
      </c>
      <c r="D13" s="404"/>
      <c r="E13" s="407"/>
      <c r="F13" s="407"/>
    </row>
    <row r="14" spans="1:6" s="106" customFormat="1" ht="30.75" customHeight="1" hidden="1">
      <c r="A14" s="294">
        <v>205330</v>
      </c>
      <c r="B14" s="38" t="s">
        <v>43</v>
      </c>
      <c r="C14" s="403">
        <f t="shared" si="0"/>
        <v>0</v>
      </c>
      <c r="D14" s="404"/>
      <c r="E14" s="405"/>
      <c r="F14" s="405"/>
    </row>
    <row r="15" spans="1:6" s="106" customFormat="1" ht="34.5" customHeight="1">
      <c r="A15" s="294">
        <v>208000</v>
      </c>
      <c r="B15" s="38" t="s">
        <v>44</v>
      </c>
      <c r="C15" s="403">
        <f t="shared" si="0"/>
        <v>19085.814</v>
      </c>
      <c r="D15" s="404">
        <f>D21+D22</f>
        <v>5164.341999999999</v>
      </c>
      <c r="E15" s="405">
        <f>E21+E22</f>
        <v>13921.472000000002</v>
      </c>
      <c r="F15" s="405">
        <f>F21+F22</f>
        <v>13815.661</v>
      </c>
    </row>
    <row r="16" spans="1:6" s="106" customFormat="1" ht="21.75" customHeight="1" hidden="1">
      <c r="A16" s="295">
        <v>208100</v>
      </c>
      <c r="B16" s="38" t="s">
        <v>45</v>
      </c>
      <c r="C16" s="403">
        <f t="shared" si="0"/>
        <v>0</v>
      </c>
      <c r="D16" s="406"/>
      <c r="E16" s="403"/>
      <c r="F16" s="403"/>
    </row>
    <row r="17" spans="1:6" s="106" customFormat="1" ht="19.5" customHeight="1" hidden="1">
      <c r="A17" s="295">
        <v>208200</v>
      </c>
      <c r="B17" s="38" t="s">
        <v>46</v>
      </c>
      <c r="C17" s="403">
        <f t="shared" si="0"/>
        <v>0</v>
      </c>
      <c r="D17" s="404"/>
      <c r="E17" s="405"/>
      <c r="F17" s="405"/>
    </row>
    <row r="18" spans="1:6" s="106" customFormat="1" ht="36" customHeight="1" hidden="1">
      <c r="A18" s="295" t="s">
        <v>47</v>
      </c>
      <c r="B18" s="38" t="s">
        <v>42</v>
      </c>
      <c r="C18" s="403">
        <f t="shared" si="0"/>
        <v>0</v>
      </c>
      <c r="D18" s="406"/>
      <c r="E18" s="407"/>
      <c r="F18" s="407"/>
    </row>
    <row r="19" spans="1:6" s="106" customFormat="1" ht="35.25" customHeight="1" hidden="1">
      <c r="A19" s="295" t="s">
        <v>48</v>
      </c>
      <c r="B19" s="38" t="s">
        <v>49</v>
      </c>
      <c r="C19" s="403">
        <f t="shared" si="0"/>
        <v>0</v>
      </c>
      <c r="D19" s="404"/>
      <c r="E19" s="405"/>
      <c r="F19" s="405"/>
    </row>
    <row r="20" spans="1:6" s="106" customFormat="1" ht="35.25" customHeight="1" hidden="1">
      <c r="A20" s="295" t="s">
        <v>248</v>
      </c>
      <c r="B20" s="38" t="s">
        <v>250</v>
      </c>
      <c r="C20" s="403">
        <f t="shared" si="0"/>
        <v>0</v>
      </c>
      <c r="D20" s="404"/>
      <c r="E20" s="405"/>
      <c r="F20" s="405"/>
    </row>
    <row r="21" spans="1:6" s="106" customFormat="1" ht="35.25" customHeight="1">
      <c r="A21" s="339">
        <v>208100</v>
      </c>
      <c r="B21" s="338" t="s">
        <v>45</v>
      </c>
      <c r="C21" s="403">
        <f t="shared" si="0"/>
        <v>19085.814</v>
      </c>
      <c r="D21" s="403">
        <v>16821.336</v>
      </c>
      <c r="E21" s="403">
        <v>2264.478</v>
      </c>
      <c r="F21" s="403">
        <v>2158.667</v>
      </c>
    </row>
    <row r="22" spans="1:6" s="106" customFormat="1" ht="49.5" customHeight="1">
      <c r="A22" s="295" t="s">
        <v>48</v>
      </c>
      <c r="B22" s="38" t="s">
        <v>49</v>
      </c>
      <c r="C22" s="403">
        <f t="shared" si="0"/>
        <v>0</v>
      </c>
      <c r="D22" s="404">
        <v>-11656.994</v>
      </c>
      <c r="E22" s="405">
        <v>11656.994</v>
      </c>
      <c r="F22" s="405">
        <v>11656.994</v>
      </c>
    </row>
    <row r="23" spans="1:6" s="106" customFormat="1" ht="28.5" customHeight="1">
      <c r="A23" s="294"/>
      <c r="B23" s="292" t="s">
        <v>50</v>
      </c>
      <c r="C23" s="403">
        <f t="shared" si="0"/>
        <v>19085.814</v>
      </c>
      <c r="D23" s="406">
        <f>+D11</f>
        <v>5164.341999999999</v>
      </c>
      <c r="E23" s="403">
        <f>+E11</f>
        <v>13921.472000000002</v>
      </c>
      <c r="F23" s="403">
        <f>+F11</f>
        <v>13815.661</v>
      </c>
    </row>
    <row r="24" spans="1:6" s="106" customFormat="1" ht="15" customHeight="1">
      <c r="A24" s="293" t="s">
        <v>51</v>
      </c>
      <c r="B24" s="292" t="s">
        <v>52</v>
      </c>
      <c r="C24" s="403">
        <f t="shared" si="0"/>
        <v>19085.814</v>
      </c>
      <c r="D24" s="404">
        <f>D30+D31</f>
        <v>5164.341999999999</v>
      </c>
      <c r="E24" s="405">
        <f>E30+E31</f>
        <v>13921.472000000002</v>
      </c>
      <c r="F24" s="405">
        <f>F30+F31</f>
        <v>13815.661</v>
      </c>
    </row>
    <row r="25" spans="1:6" s="106" customFormat="1" ht="0.75" customHeight="1" hidden="1">
      <c r="A25" s="295" t="s">
        <v>53</v>
      </c>
      <c r="B25" s="38" t="s">
        <v>54</v>
      </c>
      <c r="C25" s="403">
        <f t="shared" si="0"/>
        <v>0</v>
      </c>
      <c r="D25" s="406"/>
      <c r="E25" s="403"/>
      <c r="F25" s="403"/>
    </row>
    <row r="26" spans="1:6" s="106" customFormat="1" ht="30" customHeight="1" hidden="1">
      <c r="A26" s="295" t="s">
        <v>55</v>
      </c>
      <c r="B26" s="38" t="s">
        <v>56</v>
      </c>
      <c r="C26" s="403">
        <f t="shared" si="0"/>
        <v>0</v>
      </c>
      <c r="D26" s="404">
        <f>+D17</f>
        <v>0</v>
      </c>
      <c r="E26" s="405">
        <f>+E17</f>
        <v>0</v>
      </c>
      <c r="F26" s="405">
        <f>+F17</f>
        <v>0</v>
      </c>
    </row>
    <row r="27" spans="1:6" s="106" customFormat="1" ht="30.75" customHeight="1" hidden="1">
      <c r="A27" s="295" t="s">
        <v>57</v>
      </c>
      <c r="B27" s="38" t="s">
        <v>42</v>
      </c>
      <c r="C27" s="403">
        <f t="shared" si="0"/>
        <v>0</v>
      </c>
      <c r="D27" s="404">
        <f>+D13+D18</f>
        <v>0</v>
      </c>
      <c r="E27" s="405">
        <f>+E13+E18</f>
        <v>0</v>
      </c>
      <c r="F27" s="405">
        <f>+F13+F18</f>
        <v>0</v>
      </c>
    </row>
    <row r="28" spans="1:6" s="106" customFormat="1" ht="36" customHeight="1" hidden="1">
      <c r="A28" s="295" t="s">
        <v>58</v>
      </c>
      <c r="B28" s="38" t="s">
        <v>49</v>
      </c>
      <c r="C28" s="403">
        <f t="shared" si="0"/>
        <v>0</v>
      </c>
      <c r="D28" s="404"/>
      <c r="E28" s="405"/>
      <c r="F28" s="405"/>
    </row>
    <row r="29" spans="1:6" s="106" customFormat="1" ht="36" customHeight="1" hidden="1">
      <c r="A29" s="295" t="s">
        <v>249</v>
      </c>
      <c r="B29" s="38" t="s">
        <v>250</v>
      </c>
      <c r="C29" s="403">
        <f t="shared" si="0"/>
        <v>0</v>
      </c>
      <c r="D29" s="404"/>
      <c r="E29" s="405"/>
      <c r="F29" s="405"/>
    </row>
    <row r="30" spans="1:6" s="106" customFormat="1" ht="36" customHeight="1">
      <c r="A30" s="339" t="s">
        <v>53</v>
      </c>
      <c r="B30" s="338" t="s">
        <v>54</v>
      </c>
      <c r="C30" s="403">
        <f t="shared" si="0"/>
        <v>19085.814</v>
      </c>
      <c r="D30" s="403">
        <v>16821.336</v>
      </c>
      <c r="E30" s="403">
        <v>2264.478</v>
      </c>
      <c r="F30" s="403">
        <v>2158.667</v>
      </c>
    </row>
    <row r="31" spans="1:6" s="106" customFormat="1" ht="51.75" customHeight="1">
      <c r="A31" s="295" t="s">
        <v>58</v>
      </c>
      <c r="B31" s="38" t="s">
        <v>49</v>
      </c>
      <c r="C31" s="403">
        <f t="shared" si="0"/>
        <v>0</v>
      </c>
      <c r="D31" s="404">
        <v>-11656.994</v>
      </c>
      <c r="E31" s="405">
        <v>11656.994</v>
      </c>
      <c r="F31" s="405">
        <v>11656.994</v>
      </c>
    </row>
    <row r="32" spans="1:6" s="106" customFormat="1" ht="28.5" customHeight="1">
      <c r="A32" s="294"/>
      <c r="B32" s="292" t="s">
        <v>59</v>
      </c>
      <c r="C32" s="403">
        <f t="shared" si="0"/>
        <v>19085.814</v>
      </c>
      <c r="D32" s="406">
        <f>+D24</f>
        <v>5164.341999999999</v>
      </c>
      <c r="E32" s="403">
        <f>+E24</f>
        <v>13921.472000000002</v>
      </c>
      <c r="F32" s="403">
        <f>+F24</f>
        <v>13815.661</v>
      </c>
    </row>
    <row r="33" spans="1:6" ht="15.75">
      <c r="A33" s="26"/>
      <c r="B33" s="27"/>
      <c r="C33" s="27"/>
      <c r="D33" s="329"/>
      <c r="E33" s="330"/>
      <c r="F33" s="330"/>
    </row>
    <row r="34" spans="1:6" ht="15.75">
      <c r="A34" s="239" t="s">
        <v>390</v>
      </c>
      <c r="B34" s="4"/>
      <c r="C34" s="444" t="s">
        <v>391</v>
      </c>
      <c r="D34" s="444"/>
      <c r="E34" s="444"/>
      <c r="F34" s="332"/>
    </row>
    <row r="35" spans="1:5" ht="15.75">
      <c r="A35" s="28"/>
      <c r="B35" s="47"/>
      <c r="C35" s="47"/>
      <c r="D35" s="105"/>
      <c r="E35" s="104"/>
    </row>
    <row r="36" spans="1:6" ht="15.75">
      <c r="A36" s="47"/>
      <c r="B36" s="103"/>
      <c r="C36" s="103"/>
      <c r="D36" s="47"/>
      <c r="E36" s="47"/>
      <c r="F36" s="47"/>
    </row>
  </sheetData>
  <sheetProtection/>
  <mergeCells count="10">
    <mergeCell ref="C34:E34"/>
    <mergeCell ref="E2:F2"/>
    <mergeCell ref="E1:F1"/>
    <mergeCell ref="C8:C9"/>
    <mergeCell ref="B3:D3"/>
    <mergeCell ref="A4:F4"/>
    <mergeCell ref="A8:A9"/>
    <mergeCell ref="B8:B9"/>
    <mergeCell ref="D8:D9"/>
    <mergeCell ref="E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8"/>
  <sheetViews>
    <sheetView showGridLines="0" showZeros="0" zoomScale="70" zoomScaleNormal="70" zoomScaleSheetLayoutView="75" zoomScalePageLayoutView="0" workbookViewId="0" topLeftCell="B1">
      <pane xSplit="5" ySplit="11" topLeftCell="G114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B1" sqref="B1"/>
    </sheetView>
  </sheetViews>
  <sheetFormatPr defaultColWidth="9.33203125" defaultRowHeight="12.75"/>
  <cols>
    <col min="1" max="1" width="3.83203125" style="3" hidden="1" customWidth="1"/>
    <col min="2" max="2" width="17.33203125" style="3" customWidth="1"/>
    <col min="3" max="3" width="17" style="12" customWidth="1"/>
    <col min="4" max="4" width="1.171875" style="12" hidden="1" customWidth="1"/>
    <col min="5" max="5" width="15.5" style="12" customWidth="1"/>
    <col min="6" max="6" width="69.33203125" style="3" customWidth="1"/>
    <col min="7" max="7" width="17.5" style="3" bestFit="1" customWidth="1"/>
    <col min="8" max="8" width="16.66015625" style="3" customWidth="1"/>
    <col min="9" max="9" width="19.16015625" style="3" customWidth="1"/>
    <col min="10" max="10" width="16" style="3" customWidth="1"/>
    <col min="11" max="11" width="12.16015625" style="3" customWidth="1"/>
    <col min="12" max="13" width="16.16015625" style="3" customWidth="1"/>
    <col min="14" max="14" width="16.66015625" style="3" customWidth="1"/>
    <col min="15" max="15" width="18" style="3" customWidth="1"/>
    <col min="16" max="16" width="14.83203125" style="3" customWidth="1"/>
    <col min="17" max="17" width="14.16015625" style="3" customWidth="1"/>
    <col min="18" max="18" width="15.5" style="3" customWidth="1"/>
    <col min="19" max="19" width="12.33203125" style="2" customWidth="1"/>
    <col min="20" max="20" width="13.16015625" style="2" customWidth="1"/>
    <col min="21" max="16384" width="9.33203125" style="2" customWidth="1"/>
  </cols>
  <sheetData>
    <row r="1" spans="1:18" s="6" customFormat="1" ht="60.75" customHeight="1">
      <c r="A1" s="5"/>
      <c r="B1" s="1" t="s">
        <v>490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463" t="s">
        <v>299</v>
      </c>
      <c r="Q1" s="463"/>
      <c r="R1" s="463"/>
    </row>
    <row r="2" spans="1:18" s="6" customFormat="1" ht="9.75" customHeight="1">
      <c r="A2" s="5"/>
      <c r="B2" s="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287"/>
      <c r="P2" s="288"/>
      <c r="Q2" s="288"/>
      <c r="R2" s="288"/>
    </row>
    <row r="3" spans="1:18" s="6" customFormat="1" ht="18.75">
      <c r="A3" s="5"/>
      <c r="B3" s="466" t="s">
        <v>233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</row>
    <row r="4" spans="1:18" s="6" customFormat="1" ht="4.5" customHeight="1">
      <c r="A4" s="5"/>
      <c r="B4" s="286"/>
      <c r="C4" s="286"/>
      <c r="D4" s="286"/>
      <c r="E4" s="286"/>
      <c r="F4" s="286"/>
      <c r="G4" s="286"/>
      <c r="H4" s="286"/>
      <c r="I4" s="286"/>
      <c r="J4" s="286"/>
      <c r="O4" s="287"/>
      <c r="P4" s="288"/>
      <c r="Q4" s="288"/>
      <c r="R4" s="288"/>
    </row>
    <row r="5" spans="1:19" ht="13.5" customHeight="1">
      <c r="A5" s="1"/>
      <c r="B5" s="291">
        <v>12523000000</v>
      </c>
      <c r="F5" s="2"/>
      <c r="G5" s="2"/>
      <c r="H5" s="2"/>
      <c r="I5" s="2"/>
      <c r="J5" s="2"/>
      <c r="K5" s="2"/>
      <c r="L5" s="2"/>
      <c r="M5" s="2"/>
      <c r="N5" s="2"/>
      <c r="O5" s="463"/>
      <c r="P5" s="465"/>
      <c r="Q5" s="465"/>
      <c r="R5" s="465"/>
      <c r="S5" s="39"/>
    </row>
    <row r="6" spans="1:18" ht="24.75" customHeight="1">
      <c r="A6" s="1"/>
      <c r="B6" s="290" t="s">
        <v>120</v>
      </c>
      <c r="C6" s="2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7" t="s">
        <v>60</v>
      </c>
    </row>
    <row r="7" spans="1:19" s="32" customFormat="1" ht="21.75" customHeight="1">
      <c r="A7" s="31"/>
      <c r="B7" s="468" t="s">
        <v>116</v>
      </c>
      <c r="C7" s="468" t="s">
        <v>117</v>
      </c>
      <c r="D7" s="40"/>
      <c r="E7" s="468" t="s">
        <v>106</v>
      </c>
      <c r="F7" s="464" t="s">
        <v>118</v>
      </c>
      <c r="G7" s="464" t="s">
        <v>2</v>
      </c>
      <c r="H7" s="464"/>
      <c r="I7" s="464"/>
      <c r="J7" s="464"/>
      <c r="K7" s="464"/>
      <c r="L7" s="464" t="s">
        <v>3</v>
      </c>
      <c r="M7" s="464"/>
      <c r="N7" s="464"/>
      <c r="O7" s="464"/>
      <c r="P7" s="464"/>
      <c r="Q7" s="464"/>
      <c r="R7" s="464" t="s">
        <v>4</v>
      </c>
      <c r="S7" s="41"/>
    </row>
    <row r="8" spans="1:19" s="32" customFormat="1" ht="16.5" customHeight="1">
      <c r="A8" s="33"/>
      <c r="B8" s="469"/>
      <c r="C8" s="469"/>
      <c r="D8" s="42"/>
      <c r="E8" s="469"/>
      <c r="F8" s="464"/>
      <c r="G8" s="464" t="s">
        <v>105</v>
      </c>
      <c r="H8" s="464" t="s">
        <v>5</v>
      </c>
      <c r="I8" s="464" t="s">
        <v>6</v>
      </c>
      <c r="J8" s="464"/>
      <c r="K8" s="464" t="s">
        <v>7</v>
      </c>
      <c r="L8" s="464" t="s">
        <v>105</v>
      </c>
      <c r="M8" s="468" t="s">
        <v>107</v>
      </c>
      <c r="N8" s="464" t="s">
        <v>5</v>
      </c>
      <c r="O8" s="464" t="s">
        <v>6</v>
      </c>
      <c r="P8" s="464"/>
      <c r="Q8" s="464" t="s">
        <v>7</v>
      </c>
      <c r="R8" s="464"/>
      <c r="S8" s="41"/>
    </row>
    <row r="9" spans="1:19" s="32" customFormat="1" ht="20.25" customHeight="1">
      <c r="A9" s="34"/>
      <c r="B9" s="469"/>
      <c r="C9" s="469"/>
      <c r="D9" s="42"/>
      <c r="E9" s="469"/>
      <c r="F9" s="464"/>
      <c r="G9" s="464"/>
      <c r="H9" s="464"/>
      <c r="I9" s="464" t="s">
        <v>99</v>
      </c>
      <c r="J9" s="464" t="s">
        <v>8</v>
      </c>
      <c r="K9" s="464"/>
      <c r="L9" s="464"/>
      <c r="M9" s="469"/>
      <c r="N9" s="464"/>
      <c r="O9" s="464" t="s">
        <v>99</v>
      </c>
      <c r="P9" s="464" t="s">
        <v>8</v>
      </c>
      <c r="Q9" s="464"/>
      <c r="R9" s="464"/>
      <c r="S9" s="41"/>
    </row>
    <row r="10" spans="1:19" s="32" customFormat="1" ht="58.5" customHeight="1">
      <c r="A10" s="35"/>
      <c r="B10" s="470"/>
      <c r="C10" s="470"/>
      <c r="D10" s="43"/>
      <c r="E10" s="470"/>
      <c r="F10" s="464"/>
      <c r="G10" s="464"/>
      <c r="H10" s="464"/>
      <c r="I10" s="464"/>
      <c r="J10" s="464"/>
      <c r="K10" s="464"/>
      <c r="L10" s="464"/>
      <c r="M10" s="470"/>
      <c r="N10" s="464"/>
      <c r="O10" s="464"/>
      <c r="P10" s="464"/>
      <c r="Q10" s="464"/>
      <c r="R10" s="464"/>
      <c r="S10" s="41"/>
    </row>
    <row r="11" spans="1:19" s="32" customFormat="1" ht="18.75" customHeight="1">
      <c r="A11" s="35"/>
      <c r="B11" s="94">
        <v>1</v>
      </c>
      <c r="C11" s="94">
        <v>2</v>
      </c>
      <c r="D11" s="94"/>
      <c r="E11" s="94">
        <v>3</v>
      </c>
      <c r="F11" s="94">
        <v>3.71428571428571</v>
      </c>
      <c r="G11" s="94">
        <v>5</v>
      </c>
      <c r="H11" s="94">
        <v>6</v>
      </c>
      <c r="I11" s="94">
        <v>7</v>
      </c>
      <c r="J11" s="94">
        <v>8</v>
      </c>
      <c r="K11" s="94">
        <v>9</v>
      </c>
      <c r="L11" s="94">
        <v>10</v>
      </c>
      <c r="M11" s="94">
        <v>11</v>
      </c>
      <c r="N11" s="94">
        <v>12</v>
      </c>
      <c r="O11" s="94">
        <v>13</v>
      </c>
      <c r="P11" s="94">
        <v>14</v>
      </c>
      <c r="Q11" s="94">
        <v>15</v>
      </c>
      <c r="R11" s="94">
        <v>16</v>
      </c>
      <c r="S11" s="41"/>
    </row>
    <row r="12" spans="1:19" s="15" customFormat="1" ht="32.25" customHeight="1">
      <c r="A12" s="130"/>
      <c r="B12" s="155"/>
      <c r="C12" s="57" t="s">
        <v>77</v>
      </c>
      <c r="D12" s="111"/>
      <c r="E12" s="111"/>
      <c r="F12" s="402" t="s">
        <v>219</v>
      </c>
      <c r="G12" s="134">
        <f aca="true" t="shared" si="0" ref="G12:Q12">SUM(G13:G76)</f>
        <v>161906.22600000005</v>
      </c>
      <c r="H12" s="134">
        <f t="shared" si="0"/>
        <v>161906.22600000005</v>
      </c>
      <c r="I12" s="134">
        <f t="shared" si="0"/>
        <v>115740.31300000004</v>
      </c>
      <c r="J12" s="134">
        <f t="shared" si="0"/>
        <v>22681.867000000006</v>
      </c>
      <c r="K12" s="134">
        <f t="shared" si="0"/>
        <v>0</v>
      </c>
      <c r="L12" s="134">
        <f t="shared" si="0"/>
        <v>14209.184999999998</v>
      </c>
      <c r="M12" s="134">
        <f t="shared" si="0"/>
        <v>11842.884</v>
      </c>
      <c r="N12" s="134">
        <f t="shared" si="0"/>
        <v>2366.3010000000004</v>
      </c>
      <c r="O12" s="134">
        <f t="shared" si="0"/>
        <v>376.299</v>
      </c>
      <c r="P12" s="134">
        <f t="shared" si="0"/>
        <v>26.606</v>
      </c>
      <c r="Q12" s="134">
        <f t="shared" si="0"/>
        <v>11842.884</v>
      </c>
      <c r="R12" s="85">
        <f aca="true" t="shared" si="1" ref="R12:R76">L12+G12</f>
        <v>176115.41100000005</v>
      </c>
      <c r="S12" s="48"/>
    </row>
    <row r="13" spans="1:19" s="15" customFormat="1" ht="61.5" customHeight="1">
      <c r="A13" s="130"/>
      <c r="B13" s="224" t="s">
        <v>185</v>
      </c>
      <c r="C13" s="224" t="s">
        <v>184</v>
      </c>
      <c r="D13" s="223" t="s">
        <v>62</v>
      </c>
      <c r="E13" s="216" t="s">
        <v>62</v>
      </c>
      <c r="F13" s="336" t="s">
        <v>231</v>
      </c>
      <c r="G13" s="154">
        <f aca="true" t="shared" si="2" ref="G13:G46">H13</f>
        <v>8321.269999999999</v>
      </c>
      <c r="H13" s="154">
        <f>10296.095-1422.883-1246.763-742.697+157.82+409.995-17.5+37.5+438.253+336.45+75</f>
        <v>8321.269999999999</v>
      </c>
      <c r="I13" s="154">
        <f>9116.079-1372.833-1287.421-570.009-125.404+77+336.45</f>
        <v>6173.861999999998</v>
      </c>
      <c r="J13" s="154">
        <f>518.516-50+29.704-29.704+147.82+250+192.153</f>
        <v>1058.489</v>
      </c>
      <c r="K13" s="85"/>
      <c r="L13" s="85"/>
      <c r="M13" s="85"/>
      <c r="N13" s="85"/>
      <c r="O13" s="85"/>
      <c r="P13" s="85"/>
      <c r="Q13" s="85"/>
      <c r="R13" s="85">
        <f t="shared" si="1"/>
        <v>8321.269999999999</v>
      </c>
      <c r="S13" s="48"/>
    </row>
    <row r="14" spans="1:19" s="15" customFormat="1" ht="32.25" customHeight="1">
      <c r="A14" s="130"/>
      <c r="B14" s="84" t="s">
        <v>186</v>
      </c>
      <c r="C14" s="63" t="s">
        <v>67</v>
      </c>
      <c r="D14" s="221"/>
      <c r="E14" s="75" t="s">
        <v>66</v>
      </c>
      <c r="F14" s="62" t="s">
        <v>84</v>
      </c>
      <c r="G14" s="154">
        <f t="shared" si="2"/>
        <v>355.671</v>
      </c>
      <c r="H14" s="154">
        <f>324.672+18.679+5+7.32</f>
        <v>355.671</v>
      </c>
      <c r="I14" s="154">
        <f>219.67+18.679+7.32</f>
        <v>245.66899999999998</v>
      </c>
      <c r="J14" s="154">
        <v>20.693</v>
      </c>
      <c r="K14" s="86"/>
      <c r="L14" s="135"/>
      <c r="M14" s="135"/>
      <c r="N14" s="135"/>
      <c r="O14" s="135"/>
      <c r="P14" s="135"/>
      <c r="Q14" s="135"/>
      <c r="R14" s="85">
        <f t="shared" si="1"/>
        <v>355.671</v>
      </c>
      <c r="S14" s="48"/>
    </row>
    <row r="15" spans="1:19" s="15" customFormat="1" ht="35.25" customHeight="1">
      <c r="A15" s="83"/>
      <c r="B15" s="84" t="s">
        <v>187</v>
      </c>
      <c r="C15" s="51">
        <v>1010</v>
      </c>
      <c r="D15" s="72" t="s">
        <v>26</v>
      </c>
      <c r="E15" s="63" t="s">
        <v>68</v>
      </c>
      <c r="F15" s="60" t="s">
        <v>78</v>
      </c>
      <c r="G15" s="154">
        <f t="shared" si="2"/>
        <v>11642.165999999997</v>
      </c>
      <c r="H15" s="154">
        <f>19812.92-8170.754</f>
        <v>11642.165999999997</v>
      </c>
      <c r="I15" s="154">
        <f>15631.464-4701.232-1029.898</f>
        <v>9900.334</v>
      </c>
      <c r="J15" s="154">
        <f>2365.775-5.573-427.812-85.81-345.678-344.667-25.212</f>
        <v>1131.0230000000006</v>
      </c>
      <c r="K15" s="86"/>
      <c r="L15" s="86">
        <f>N15+Q15</f>
        <v>1225.582</v>
      </c>
      <c r="M15" s="86"/>
      <c r="N15" s="86">
        <v>1225.582</v>
      </c>
      <c r="O15" s="86"/>
      <c r="P15" s="86"/>
      <c r="Q15" s="86"/>
      <c r="R15" s="85">
        <f t="shared" si="1"/>
        <v>12867.747999999998</v>
      </c>
      <c r="S15" s="48"/>
    </row>
    <row r="16" spans="1:19" s="122" customFormat="1" ht="42.75" customHeight="1">
      <c r="A16" s="131"/>
      <c r="B16" s="84" t="s">
        <v>188</v>
      </c>
      <c r="C16" s="114">
        <v>1021</v>
      </c>
      <c r="D16" s="111"/>
      <c r="E16" s="111" t="s">
        <v>69</v>
      </c>
      <c r="F16" s="136" t="s">
        <v>126</v>
      </c>
      <c r="G16" s="154">
        <f t="shared" si="2"/>
        <v>27650.444</v>
      </c>
      <c r="H16" s="120">
        <v>27650.444</v>
      </c>
      <c r="I16" s="120">
        <f>22410.88-4775.643-1053.125</f>
        <v>16582.112</v>
      </c>
      <c r="J16" s="120">
        <f>11591.927-1238.083-116.654-1354.093-241.318-154.952</f>
        <v>8486.827</v>
      </c>
      <c r="K16" s="120"/>
      <c r="L16" s="86">
        <f aca="true" t="shared" si="3" ref="L16:L66">N16+Q16</f>
        <v>321.646</v>
      </c>
      <c r="M16" s="120"/>
      <c r="N16" s="120">
        <v>321.646</v>
      </c>
      <c r="O16" s="120"/>
      <c r="P16" s="120"/>
      <c r="Q16" s="120"/>
      <c r="R16" s="85">
        <f t="shared" si="1"/>
        <v>27972.09</v>
      </c>
      <c r="S16" s="121"/>
    </row>
    <row r="17" spans="1:19" s="15" customFormat="1" ht="0.75" customHeight="1" hidden="1">
      <c r="A17" s="83"/>
      <c r="B17" s="84" t="s">
        <v>189</v>
      </c>
      <c r="C17" s="114">
        <v>1031</v>
      </c>
      <c r="D17" s="111"/>
      <c r="E17" s="111" t="s">
        <v>69</v>
      </c>
      <c r="F17" s="136" t="s">
        <v>126</v>
      </c>
      <c r="G17" s="154">
        <f t="shared" si="2"/>
        <v>0</v>
      </c>
      <c r="H17" s="154"/>
      <c r="I17" s="154"/>
      <c r="J17" s="154"/>
      <c r="K17" s="86"/>
      <c r="L17" s="86">
        <f t="shared" si="3"/>
        <v>0</v>
      </c>
      <c r="M17" s="86"/>
      <c r="N17" s="86"/>
      <c r="O17" s="86"/>
      <c r="P17" s="86"/>
      <c r="Q17" s="86"/>
      <c r="R17" s="85">
        <f t="shared" si="1"/>
        <v>0</v>
      </c>
      <c r="S17" s="48"/>
    </row>
    <row r="18" spans="1:19" s="15" customFormat="1" ht="33.75" customHeight="1" hidden="1">
      <c r="A18" s="83"/>
      <c r="B18" s="84"/>
      <c r="C18" s="114"/>
      <c r="D18" s="111"/>
      <c r="E18" s="111"/>
      <c r="F18" s="136"/>
      <c r="G18" s="341"/>
      <c r="H18" s="341"/>
      <c r="I18" s="341"/>
      <c r="J18" s="341"/>
      <c r="K18" s="86"/>
      <c r="L18" s="86"/>
      <c r="M18" s="86"/>
      <c r="N18" s="86"/>
      <c r="O18" s="86"/>
      <c r="P18" s="86"/>
      <c r="Q18" s="86"/>
      <c r="R18" s="85"/>
      <c r="S18" s="48"/>
    </row>
    <row r="19" spans="1:19" s="15" customFormat="1" ht="37.5" customHeight="1">
      <c r="A19" s="83"/>
      <c r="B19" s="84" t="s">
        <v>189</v>
      </c>
      <c r="C19" s="224" t="s">
        <v>243</v>
      </c>
      <c r="D19" s="222" t="s">
        <v>69</v>
      </c>
      <c r="E19" s="111" t="s">
        <v>69</v>
      </c>
      <c r="F19" s="136" t="s">
        <v>126</v>
      </c>
      <c r="G19" s="154">
        <f t="shared" si="2"/>
        <v>49113.954</v>
      </c>
      <c r="H19" s="154">
        <f>67559.3-18445.346</f>
        <v>49113.954</v>
      </c>
      <c r="I19" s="154">
        <v>49113.954</v>
      </c>
      <c r="J19" s="154"/>
      <c r="K19" s="86"/>
      <c r="L19" s="86">
        <f t="shared" si="3"/>
        <v>0</v>
      </c>
      <c r="M19" s="86"/>
      <c r="N19" s="86"/>
      <c r="O19" s="86"/>
      <c r="P19" s="86"/>
      <c r="Q19" s="86"/>
      <c r="R19" s="85">
        <f t="shared" si="1"/>
        <v>49113.954</v>
      </c>
      <c r="S19" s="48"/>
    </row>
    <row r="20" spans="1:19" s="15" customFormat="1" ht="37.5" customHeight="1">
      <c r="A20" s="83"/>
      <c r="B20" s="84" t="s">
        <v>381</v>
      </c>
      <c r="C20" s="114">
        <v>1061</v>
      </c>
      <c r="D20" s="111"/>
      <c r="E20" s="111" t="s">
        <v>69</v>
      </c>
      <c r="F20" s="136" t="s">
        <v>126</v>
      </c>
      <c r="G20" s="341">
        <f>H20</f>
        <v>680.756</v>
      </c>
      <c r="H20" s="341">
        <f>698.584+756.582-774.41</f>
        <v>680.756</v>
      </c>
      <c r="I20" s="341">
        <f>756.582-107.176</f>
        <v>649.406</v>
      </c>
      <c r="J20" s="341"/>
      <c r="K20" s="86"/>
      <c r="L20" s="86">
        <f>M20</f>
        <v>575.2080000000001</v>
      </c>
      <c r="M20" s="86">
        <f>405.928-284+567.869-114.589</f>
        <v>575.2080000000001</v>
      </c>
      <c r="N20" s="86"/>
      <c r="O20" s="86"/>
      <c r="P20" s="86"/>
      <c r="Q20" s="86">
        <f>M20</f>
        <v>575.2080000000001</v>
      </c>
      <c r="R20" s="85">
        <f>L20+G20</f>
        <v>1255.964</v>
      </c>
      <c r="S20" s="48"/>
    </row>
    <row r="21" spans="1:19" s="15" customFormat="1" ht="36" customHeight="1">
      <c r="A21" s="83"/>
      <c r="B21" s="84" t="s">
        <v>190</v>
      </c>
      <c r="C21" s="114">
        <v>1070</v>
      </c>
      <c r="D21" s="111" t="s">
        <v>27</v>
      </c>
      <c r="E21" s="111" t="s">
        <v>70</v>
      </c>
      <c r="F21" s="136" t="s">
        <v>122</v>
      </c>
      <c r="G21" s="154">
        <f t="shared" si="2"/>
        <v>1509.522</v>
      </c>
      <c r="H21" s="154">
        <f>2388.75+5.573-884.801</f>
        <v>1509.522</v>
      </c>
      <c r="I21" s="150">
        <f>2106.692-621.163-148.376</f>
        <v>1337.153</v>
      </c>
      <c r="J21" s="154">
        <f>266.866+5.573-70.664-0.813-28.178-3.834</f>
        <v>168.95</v>
      </c>
      <c r="K21" s="85"/>
      <c r="L21" s="86">
        <f t="shared" si="3"/>
        <v>0</v>
      </c>
      <c r="M21" s="85"/>
      <c r="N21" s="85"/>
      <c r="O21" s="85"/>
      <c r="P21" s="85"/>
      <c r="Q21" s="85"/>
      <c r="R21" s="85">
        <f t="shared" si="1"/>
        <v>1509.522</v>
      </c>
      <c r="S21" s="48"/>
    </row>
    <row r="22" spans="1:19" s="15" customFormat="1" ht="28.5" customHeight="1">
      <c r="A22" s="83"/>
      <c r="B22" s="84" t="s">
        <v>191</v>
      </c>
      <c r="C22" s="156">
        <v>1080</v>
      </c>
      <c r="D22" s="157"/>
      <c r="E22" s="119" t="s">
        <v>70</v>
      </c>
      <c r="F22" s="158" t="s">
        <v>121</v>
      </c>
      <c r="G22" s="154">
        <f t="shared" si="2"/>
        <v>5364.727999999999</v>
      </c>
      <c r="H22" s="150">
        <f>7456.731-2092.003</f>
        <v>5364.727999999999</v>
      </c>
      <c r="I22" s="150">
        <f>6383.793-1245.098-269.469</f>
        <v>4869.226</v>
      </c>
      <c r="J22" s="389">
        <v>459.222</v>
      </c>
      <c r="K22" s="87"/>
      <c r="L22" s="86">
        <f t="shared" si="3"/>
        <v>365.79</v>
      </c>
      <c r="M22" s="87"/>
      <c r="N22" s="87">
        <v>365.79</v>
      </c>
      <c r="O22" s="87">
        <v>313.784</v>
      </c>
      <c r="P22" s="87">
        <v>26.506</v>
      </c>
      <c r="Q22" s="87"/>
      <c r="R22" s="85">
        <f t="shared" si="1"/>
        <v>5730.517999999999</v>
      </c>
      <c r="S22" s="48"/>
    </row>
    <row r="23" spans="1:19" s="15" customFormat="1" ht="28.5" customHeight="1">
      <c r="A23" s="83"/>
      <c r="B23" s="84" t="s">
        <v>192</v>
      </c>
      <c r="C23" s="114">
        <v>1141</v>
      </c>
      <c r="D23" s="111" t="s">
        <v>29</v>
      </c>
      <c r="E23" s="111" t="s">
        <v>71</v>
      </c>
      <c r="F23" s="136" t="s">
        <v>92</v>
      </c>
      <c r="G23" s="154">
        <f t="shared" si="2"/>
        <v>1818.297</v>
      </c>
      <c r="H23" s="154">
        <v>1818.297</v>
      </c>
      <c r="I23" s="154">
        <f>2163.445-364.653-74.219</f>
        <v>1724.573</v>
      </c>
      <c r="J23" s="154">
        <f>234.893-1.794-35.259-121.638-0.633</f>
        <v>75.56899999999997</v>
      </c>
      <c r="K23" s="86"/>
      <c r="L23" s="86">
        <f t="shared" si="3"/>
        <v>0</v>
      </c>
      <c r="M23" s="86"/>
      <c r="N23" s="86"/>
      <c r="O23" s="86"/>
      <c r="P23" s="86"/>
      <c r="Q23" s="86"/>
      <c r="R23" s="85">
        <f t="shared" si="1"/>
        <v>1818.297</v>
      </c>
      <c r="S23" s="48"/>
    </row>
    <row r="24" spans="1:19" s="15" customFormat="1" ht="28.5" customHeight="1">
      <c r="A24" s="83"/>
      <c r="B24" s="84" t="s">
        <v>193</v>
      </c>
      <c r="C24" s="114">
        <v>1142</v>
      </c>
      <c r="D24" s="111"/>
      <c r="E24" s="111" t="s">
        <v>71</v>
      </c>
      <c r="F24" s="136" t="s">
        <v>111</v>
      </c>
      <c r="G24" s="154">
        <f t="shared" si="2"/>
        <v>10.860000000000001</v>
      </c>
      <c r="H24" s="154">
        <f>18.1-7.24</f>
        <v>10.860000000000001</v>
      </c>
      <c r="I24" s="154"/>
      <c r="J24" s="154"/>
      <c r="K24" s="85"/>
      <c r="L24" s="86">
        <f t="shared" si="3"/>
        <v>0</v>
      </c>
      <c r="M24" s="85"/>
      <c r="N24" s="85"/>
      <c r="O24" s="85"/>
      <c r="P24" s="85"/>
      <c r="Q24" s="85"/>
      <c r="R24" s="85">
        <f t="shared" si="1"/>
        <v>10.860000000000001</v>
      </c>
      <c r="S24" s="48"/>
    </row>
    <row r="25" spans="1:19" s="15" customFormat="1" ht="33" customHeight="1">
      <c r="A25" s="83"/>
      <c r="B25" s="84" t="s">
        <v>194</v>
      </c>
      <c r="C25" s="114">
        <v>1151</v>
      </c>
      <c r="D25" s="111"/>
      <c r="E25" s="111" t="s">
        <v>71</v>
      </c>
      <c r="F25" s="136" t="s">
        <v>124</v>
      </c>
      <c r="G25" s="154">
        <f t="shared" si="2"/>
        <v>134.19500000000002</v>
      </c>
      <c r="H25" s="154">
        <f>325.874-191.679</f>
        <v>134.19500000000002</v>
      </c>
      <c r="I25" s="154">
        <f>210.098-102.427-22.639</f>
        <v>85.03200000000001</v>
      </c>
      <c r="J25" s="154">
        <f>92.049-0.241-9.787-36.895-0.947</f>
        <v>44.178999999999995</v>
      </c>
      <c r="K25" s="86"/>
      <c r="L25" s="86">
        <f t="shared" si="3"/>
        <v>0</v>
      </c>
      <c r="M25" s="86"/>
      <c r="N25" s="86"/>
      <c r="O25" s="86"/>
      <c r="P25" s="86"/>
      <c r="Q25" s="86"/>
      <c r="R25" s="85">
        <f t="shared" si="1"/>
        <v>134.19500000000002</v>
      </c>
      <c r="S25" s="48"/>
    </row>
    <row r="26" spans="1:19" s="15" customFormat="1" ht="34.5" customHeight="1">
      <c r="A26" s="83"/>
      <c r="B26" s="84" t="s">
        <v>195</v>
      </c>
      <c r="C26" s="114">
        <v>1152</v>
      </c>
      <c r="D26" s="111"/>
      <c r="E26" s="111" t="s">
        <v>71</v>
      </c>
      <c r="F26" s="136" t="s">
        <v>125</v>
      </c>
      <c r="G26" s="154">
        <f t="shared" si="2"/>
        <v>752.8709999999999</v>
      </c>
      <c r="H26" s="154">
        <f>1550.899+43.573-150.671+110.147-801.077</f>
        <v>752.8709999999999</v>
      </c>
      <c r="I26" s="154">
        <f>1550.899+43.573-150.671+110.147-666.147-134.93</f>
        <v>752.8709999999999</v>
      </c>
      <c r="J26" s="154"/>
      <c r="K26" s="86"/>
      <c r="L26" s="86">
        <f t="shared" si="3"/>
        <v>0</v>
      </c>
      <c r="M26" s="86"/>
      <c r="N26" s="86"/>
      <c r="O26" s="86"/>
      <c r="P26" s="86"/>
      <c r="Q26" s="86"/>
      <c r="R26" s="85">
        <f t="shared" si="1"/>
        <v>752.8709999999999</v>
      </c>
      <c r="S26" s="48"/>
    </row>
    <row r="27" spans="1:19" s="15" customFormat="1" ht="29.25" customHeight="1" hidden="1">
      <c r="A27" s="83"/>
      <c r="B27" s="148" t="s">
        <v>197</v>
      </c>
      <c r="C27" s="215">
        <v>1160</v>
      </c>
      <c r="D27" s="146" t="s">
        <v>28</v>
      </c>
      <c r="E27" s="146" t="s">
        <v>71</v>
      </c>
      <c r="F27" s="147" t="s">
        <v>183</v>
      </c>
      <c r="G27" s="154">
        <f t="shared" si="2"/>
        <v>0</v>
      </c>
      <c r="H27" s="154"/>
      <c r="I27" s="154"/>
      <c r="J27" s="154"/>
      <c r="K27" s="86"/>
      <c r="L27" s="86">
        <f t="shared" si="3"/>
        <v>0</v>
      </c>
      <c r="M27" s="86"/>
      <c r="N27" s="86"/>
      <c r="O27" s="86"/>
      <c r="P27" s="86"/>
      <c r="Q27" s="86"/>
      <c r="R27" s="85">
        <f t="shared" si="1"/>
        <v>0</v>
      </c>
      <c r="S27" s="48"/>
    </row>
    <row r="28" spans="1:19" s="15" customFormat="1" ht="28.5" customHeight="1" hidden="1">
      <c r="A28" s="83"/>
      <c r="B28" s="84" t="s">
        <v>196</v>
      </c>
      <c r="C28" s="114">
        <v>1200</v>
      </c>
      <c r="D28" s="111"/>
      <c r="E28" s="111" t="s">
        <v>71</v>
      </c>
      <c r="F28" s="159" t="s">
        <v>127</v>
      </c>
      <c r="G28" s="154">
        <f t="shared" si="2"/>
        <v>0</v>
      </c>
      <c r="H28" s="151"/>
      <c r="I28" s="154"/>
      <c r="J28" s="154"/>
      <c r="K28" s="86"/>
      <c r="L28" s="86">
        <f t="shared" si="3"/>
        <v>0</v>
      </c>
      <c r="M28" s="86"/>
      <c r="N28" s="86"/>
      <c r="O28" s="86"/>
      <c r="P28" s="86"/>
      <c r="Q28" s="86"/>
      <c r="R28" s="85">
        <f t="shared" si="1"/>
        <v>0</v>
      </c>
      <c r="S28" s="48"/>
    </row>
    <row r="29" spans="1:19" s="15" customFormat="1" ht="27" customHeight="1" hidden="1">
      <c r="A29" s="83"/>
      <c r="B29" s="84" t="s">
        <v>200</v>
      </c>
      <c r="C29" s="114">
        <v>2010</v>
      </c>
      <c r="D29" s="111"/>
      <c r="E29" s="216" t="s">
        <v>72</v>
      </c>
      <c r="F29" s="217" t="s">
        <v>22</v>
      </c>
      <c r="G29" s="154">
        <f t="shared" si="2"/>
        <v>0</v>
      </c>
      <c r="H29" s="151"/>
      <c r="I29" s="154"/>
      <c r="J29" s="154"/>
      <c r="K29" s="86"/>
      <c r="L29" s="86">
        <f t="shared" si="3"/>
        <v>0</v>
      </c>
      <c r="M29" s="86"/>
      <c r="N29" s="86"/>
      <c r="O29" s="86"/>
      <c r="P29" s="86"/>
      <c r="Q29" s="86"/>
      <c r="R29" s="85">
        <f t="shared" si="1"/>
        <v>0</v>
      </c>
      <c r="S29" s="48"/>
    </row>
    <row r="30" spans="1:19" s="15" customFormat="1" ht="56.25" customHeight="1" hidden="1">
      <c r="A30" s="83"/>
      <c r="B30" s="84" t="s">
        <v>198</v>
      </c>
      <c r="C30" s="51">
        <v>2111</v>
      </c>
      <c r="D30" s="72" t="s">
        <v>30</v>
      </c>
      <c r="E30" s="75" t="s">
        <v>113</v>
      </c>
      <c r="F30" s="61" t="s">
        <v>91</v>
      </c>
      <c r="G30" s="154">
        <f t="shared" si="2"/>
        <v>0</v>
      </c>
      <c r="H30" s="151"/>
      <c r="I30" s="154"/>
      <c r="J30" s="154"/>
      <c r="K30" s="86"/>
      <c r="L30" s="86">
        <f t="shared" si="3"/>
        <v>0</v>
      </c>
      <c r="M30" s="86"/>
      <c r="N30" s="86"/>
      <c r="O30" s="86"/>
      <c r="P30" s="86"/>
      <c r="Q30" s="86"/>
      <c r="R30" s="85">
        <f t="shared" si="1"/>
        <v>0</v>
      </c>
      <c r="S30" s="48"/>
    </row>
    <row r="31" spans="1:19" s="15" customFormat="1" ht="47.25" customHeight="1">
      <c r="A31" s="83"/>
      <c r="B31" s="155" t="s">
        <v>197</v>
      </c>
      <c r="C31" s="114">
        <v>1160</v>
      </c>
      <c r="D31" s="111" t="s">
        <v>28</v>
      </c>
      <c r="E31" s="111" t="s">
        <v>71</v>
      </c>
      <c r="F31" s="136" t="s">
        <v>183</v>
      </c>
      <c r="G31" s="154">
        <f t="shared" si="2"/>
        <v>856.5340000000001</v>
      </c>
      <c r="H31" s="151">
        <f>1170.477-313.944+0.001</f>
        <v>856.5340000000001</v>
      </c>
      <c r="I31" s="154">
        <f>999.321-142.481-44.442+0.001</f>
        <v>812.399</v>
      </c>
      <c r="J31" s="154">
        <v>25.888</v>
      </c>
      <c r="K31" s="86"/>
      <c r="L31" s="86">
        <f t="shared" si="3"/>
        <v>0</v>
      </c>
      <c r="M31" s="86"/>
      <c r="N31" s="86"/>
      <c r="O31" s="86"/>
      <c r="P31" s="86"/>
      <c r="Q31" s="86"/>
      <c r="R31" s="85">
        <f t="shared" si="1"/>
        <v>856.5340000000001</v>
      </c>
      <c r="S31" s="48"/>
    </row>
    <row r="32" spans="1:19" s="15" customFormat="1" ht="66" customHeight="1" hidden="1">
      <c r="A32" s="83"/>
      <c r="B32" s="340"/>
      <c r="C32" s="114"/>
      <c r="D32" s="111"/>
      <c r="E32" s="111"/>
      <c r="F32" s="136"/>
      <c r="G32" s="341">
        <f t="shared" si="2"/>
        <v>0</v>
      </c>
      <c r="H32" s="151"/>
      <c r="I32" s="341"/>
      <c r="J32" s="341"/>
      <c r="K32" s="86"/>
      <c r="L32" s="86"/>
      <c r="M32" s="86"/>
      <c r="N32" s="86"/>
      <c r="O32" s="86"/>
      <c r="P32" s="86"/>
      <c r="Q32" s="86"/>
      <c r="R32" s="85">
        <f t="shared" si="1"/>
        <v>0</v>
      </c>
      <c r="S32" s="48"/>
    </row>
    <row r="33" spans="1:19" s="15" customFormat="1" ht="60" customHeight="1" hidden="1">
      <c r="A33" s="83"/>
      <c r="B33" s="340"/>
      <c r="C33" s="114"/>
      <c r="D33" s="111"/>
      <c r="E33" s="111"/>
      <c r="F33" s="136"/>
      <c r="G33" s="341"/>
      <c r="H33" s="151"/>
      <c r="I33" s="341"/>
      <c r="J33" s="341"/>
      <c r="K33" s="86"/>
      <c r="L33" s="86"/>
      <c r="M33" s="86"/>
      <c r="N33" s="86"/>
      <c r="O33" s="86"/>
      <c r="P33" s="86"/>
      <c r="Q33" s="86"/>
      <c r="R33" s="85">
        <f t="shared" si="1"/>
        <v>0</v>
      </c>
      <c r="S33" s="48"/>
    </row>
    <row r="34" spans="1:19" s="15" customFormat="1" ht="62.25" customHeight="1">
      <c r="A34" s="83"/>
      <c r="B34" s="84" t="s">
        <v>196</v>
      </c>
      <c r="C34" s="51">
        <v>1200</v>
      </c>
      <c r="D34" s="72"/>
      <c r="E34" s="225" t="s">
        <v>71</v>
      </c>
      <c r="F34" s="226" t="s">
        <v>127</v>
      </c>
      <c r="G34" s="341">
        <f t="shared" si="2"/>
        <v>266.65299999999996</v>
      </c>
      <c r="H34" s="151">
        <f>395.566-128.913</f>
        <v>266.65299999999996</v>
      </c>
      <c r="I34" s="341">
        <v>266.653</v>
      </c>
      <c r="J34" s="341"/>
      <c r="K34" s="86"/>
      <c r="L34" s="86">
        <f>M34</f>
        <v>0</v>
      </c>
      <c r="M34" s="86"/>
      <c r="N34" s="86"/>
      <c r="O34" s="86"/>
      <c r="P34" s="86"/>
      <c r="Q34" s="86"/>
      <c r="R34" s="85">
        <f t="shared" si="1"/>
        <v>266.65299999999996</v>
      </c>
      <c r="S34" s="48"/>
    </row>
    <row r="35" spans="1:19" s="15" customFormat="1" ht="65.25" customHeight="1">
      <c r="A35" s="83"/>
      <c r="B35" s="84" t="s">
        <v>301</v>
      </c>
      <c r="C35" s="51">
        <v>1210</v>
      </c>
      <c r="D35" s="72"/>
      <c r="E35" s="225" t="s">
        <v>71</v>
      </c>
      <c r="F35" s="344" t="s">
        <v>302</v>
      </c>
      <c r="G35" s="341">
        <f t="shared" si="2"/>
        <v>86.16599999999998</v>
      </c>
      <c r="H35" s="151">
        <f>185.337-99.171</f>
        <v>86.16599999999998</v>
      </c>
      <c r="I35" s="341">
        <v>86.166</v>
      </c>
      <c r="J35" s="341"/>
      <c r="K35" s="86"/>
      <c r="L35" s="86">
        <f>M35</f>
        <v>0</v>
      </c>
      <c r="M35" s="86"/>
      <c r="N35" s="86"/>
      <c r="O35" s="86"/>
      <c r="P35" s="86"/>
      <c r="Q35" s="86"/>
      <c r="R35" s="85">
        <f t="shared" si="1"/>
        <v>86.16599999999998</v>
      </c>
      <c r="S35" s="48"/>
    </row>
    <row r="36" spans="1:19" s="15" customFormat="1" ht="32.25" customHeight="1">
      <c r="A36" s="83"/>
      <c r="B36" s="155" t="s">
        <v>279</v>
      </c>
      <c r="C36" s="114">
        <v>2010</v>
      </c>
      <c r="D36" s="111"/>
      <c r="E36" s="216" t="s">
        <v>72</v>
      </c>
      <c r="F36" s="217" t="s">
        <v>22</v>
      </c>
      <c r="G36" s="154">
        <f t="shared" si="2"/>
        <v>11233.87</v>
      </c>
      <c r="H36" s="151">
        <f>10049.057+559.266+159-82.006+548.553</f>
        <v>11233.87</v>
      </c>
      <c r="I36" s="154">
        <v>1433.042</v>
      </c>
      <c r="J36" s="154">
        <f>5658.731+51.631+387.639+119.996+159+528.243</f>
        <v>6905.240000000001</v>
      </c>
      <c r="K36" s="86"/>
      <c r="L36" s="86">
        <f t="shared" si="3"/>
        <v>99.524</v>
      </c>
      <c r="M36" s="86">
        <v>66.297</v>
      </c>
      <c r="N36" s="86">
        <f>33.227</f>
        <v>33.227</v>
      </c>
      <c r="O36" s="86"/>
      <c r="P36" s="86"/>
      <c r="Q36" s="86">
        <v>66.297</v>
      </c>
      <c r="R36" s="85">
        <f t="shared" si="1"/>
        <v>11333.394</v>
      </c>
      <c r="S36" s="48"/>
    </row>
    <row r="37" spans="1:19" s="15" customFormat="1" ht="45" customHeight="1">
      <c r="A37" s="83"/>
      <c r="B37" s="155" t="s">
        <v>198</v>
      </c>
      <c r="C37" s="114">
        <v>2111</v>
      </c>
      <c r="D37" s="111" t="s">
        <v>30</v>
      </c>
      <c r="E37" s="216" t="s">
        <v>113</v>
      </c>
      <c r="F37" s="231" t="s">
        <v>91</v>
      </c>
      <c r="G37" s="154">
        <f t="shared" si="2"/>
        <v>6413.678</v>
      </c>
      <c r="H37" s="151">
        <f>5620.956+84.13+608.592+100</f>
        <v>6413.678</v>
      </c>
      <c r="I37" s="154">
        <f>1924.908+470.079+100+90</f>
        <v>2584.987</v>
      </c>
      <c r="J37" s="154">
        <f>1503.115+84.13+138.513-20</f>
        <v>1705.7579999999998</v>
      </c>
      <c r="K37" s="86"/>
      <c r="L37" s="86">
        <f t="shared" si="3"/>
        <v>156.948</v>
      </c>
      <c r="M37" s="86"/>
      <c r="N37" s="86">
        <v>156.948</v>
      </c>
      <c r="O37" s="86"/>
      <c r="P37" s="86"/>
      <c r="Q37" s="86"/>
      <c r="R37" s="85">
        <f t="shared" si="1"/>
        <v>6570.626</v>
      </c>
      <c r="S37" s="48"/>
    </row>
    <row r="38" spans="1:19" s="15" customFormat="1" ht="42.75" customHeight="1">
      <c r="A38" s="83"/>
      <c r="B38" s="155" t="s">
        <v>240</v>
      </c>
      <c r="C38" s="232" t="s">
        <v>241</v>
      </c>
      <c r="D38" s="233"/>
      <c r="E38" s="232" t="s">
        <v>169</v>
      </c>
      <c r="F38" s="234" t="s">
        <v>242</v>
      </c>
      <c r="G38" s="154">
        <f t="shared" si="2"/>
        <v>1230.001</v>
      </c>
      <c r="H38" s="151">
        <f>1222.146-264.337+562.975+232.148-522.931</f>
        <v>1230.001</v>
      </c>
      <c r="I38" s="154"/>
      <c r="J38" s="154"/>
      <c r="K38" s="86"/>
      <c r="L38" s="86">
        <f t="shared" si="3"/>
        <v>0</v>
      </c>
      <c r="M38" s="86"/>
      <c r="N38" s="86"/>
      <c r="O38" s="86"/>
      <c r="P38" s="86"/>
      <c r="Q38" s="86"/>
      <c r="R38" s="85">
        <f t="shared" si="1"/>
        <v>1230.001</v>
      </c>
      <c r="S38" s="48"/>
    </row>
    <row r="39" spans="1:19" s="15" customFormat="1" ht="42.75" customHeight="1">
      <c r="A39" s="83"/>
      <c r="B39" s="155" t="s">
        <v>287</v>
      </c>
      <c r="C39" s="114">
        <v>2152</v>
      </c>
      <c r="D39" s="72" t="s">
        <v>288</v>
      </c>
      <c r="E39" s="111" t="s">
        <v>169</v>
      </c>
      <c r="F39" s="167" t="s">
        <v>289</v>
      </c>
      <c r="G39" s="341">
        <f t="shared" si="2"/>
        <v>253</v>
      </c>
      <c r="H39" s="151">
        <f>183+70</f>
        <v>253</v>
      </c>
      <c r="I39" s="154"/>
      <c r="J39" s="154"/>
      <c r="K39" s="86"/>
      <c r="L39" s="86"/>
      <c r="M39" s="86"/>
      <c r="N39" s="86"/>
      <c r="O39" s="86"/>
      <c r="P39" s="86"/>
      <c r="Q39" s="86"/>
      <c r="R39" s="134">
        <f t="shared" si="1"/>
        <v>253</v>
      </c>
      <c r="S39" s="48"/>
    </row>
    <row r="40" spans="1:19" s="15" customFormat="1" ht="30.75" customHeight="1">
      <c r="A40" s="83"/>
      <c r="B40" s="155" t="s">
        <v>199</v>
      </c>
      <c r="C40" s="51">
        <v>3031</v>
      </c>
      <c r="D40" s="72" t="s">
        <v>31</v>
      </c>
      <c r="E40" s="63" t="s">
        <v>63</v>
      </c>
      <c r="F40" s="59" t="s">
        <v>83</v>
      </c>
      <c r="G40" s="154">
        <f t="shared" si="2"/>
        <v>70.77799999999999</v>
      </c>
      <c r="H40" s="151">
        <f>246.278-175.5</f>
        <v>70.77799999999999</v>
      </c>
      <c r="I40" s="154"/>
      <c r="J40" s="154"/>
      <c r="K40" s="86"/>
      <c r="L40" s="86">
        <f t="shared" si="3"/>
        <v>0</v>
      </c>
      <c r="M40" s="86"/>
      <c r="N40" s="86"/>
      <c r="O40" s="86"/>
      <c r="P40" s="86"/>
      <c r="Q40" s="86"/>
      <c r="R40" s="85">
        <f t="shared" si="1"/>
        <v>70.77799999999999</v>
      </c>
      <c r="S40" s="48"/>
    </row>
    <row r="41" spans="1:19" s="15" customFormat="1" ht="38.25" customHeight="1">
      <c r="A41" s="83"/>
      <c r="B41" s="155" t="s">
        <v>201</v>
      </c>
      <c r="C41" s="51">
        <v>3032</v>
      </c>
      <c r="D41" s="72" t="s">
        <v>32</v>
      </c>
      <c r="E41" s="63" t="s">
        <v>73</v>
      </c>
      <c r="F41" s="59" t="s">
        <v>35</v>
      </c>
      <c r="G41" s="154">
        <f t="shared" si="2"/>
        <v>41.56</v>
      </c>
      <c r="H41" s="151">
        <v>41.56</v>
      </c>
      <c r="I41" s="154"/>
      <c r="J41" s="154"/>
      <c r="K41" s="86"/>
      <c r="L41" s="86">
        <f t="shared" si="3"/>
        <v>0</v>
      </c>
      <c r="M41" s="86"/>
      <c r="N41" s="86"/>
      <c r="O41" s="86"/>
      <c r="P41" s="86"/>
      <c r="Q41" s="86"/>
      <c r="R41" s="85">
        <f t="shared" si="1"/>
        <v>41.56</v>
      </c>
      <c r="S41" s="48"/>
    </row>
    <row r="42" spans="1:19" s="15" customFormat="1" ht="33.75" customHeight="1">
      <c r="A42" s="83"/>
      <c r="B42" s="155" t="s">
        <v>202</v>
      </c>
      <c r="C42" s="51">
        <v>3035</v>
      </c>
      <c r="D42" s="72" t="s">
        <v>34</v>
      </c>
      <c r="E42" s="63" t="s">
        <v>73</v>
      </c>
      <c r="F42" s="59" t="s">
        <v>23</v>
      </c>
      <c r="G42" s="154">
        <f t="shared" si="2"/>
        <v>206.8</v>
      </c>
      <c r="H42" s="151">
        <f>61.3+145.5</f>
        <v>206.8</v>
      </c>
      <c r="I42" s="154"/>
      <c r="J42" s="154"/>
      <c r="K42" s="86"/>
      <c r="L42" s="86">
        <f t="shared" si="3"/>
        <v>0</v>
      </c>
      <c r="M42" s="86"/>
      <c r="N42" s="86"/>
      <c r="O42" s="86"/>
      <c r="P42" s="86"/>
      <c r="Q42" s="86"/>
      <c r="R42" s="85">
        <f t="shared" si="1"/>
        <v>206.8</v>
      </c>
      <c r="S42" s="48"/>
    </row>
    <row r="43" spans="1:19" s="15" customFormat="1" ht="31.5">
      <c r="A43" s="83"/>
      <c r="B43" s="155" t="s">
        <v>203</v>
      </c>
      <c r="C43" s="51">
        <v>3105</v>
      </c>
      <c r="D43" s="72"/>
      <c r="E43" s="63" t="s">
        <v>74</v>
      </c>
      <c r="F43" s="59" t="s">
        <v>93</v>
      </c>
      <c r="G43" s="154">
        <f t="shared" si="2"/>
        <v>1583.176</v>
      </c>
      <c r="H43" s="151">
        <f>1443.837-19.944+159.283</f>
        <v>1583.176</v>
      </c>
      <c r="I43" s="154">
        <f>1205.548+19.264</f>
        <v>1224.812</v>
      </c>
      <c r="J43" s="154">
        <v>248.408</v>
      </c>
      <c r="K43" s="86"/>
      <c r="L43" s="86">
        <f t="shared" si="3"/>
        <v>0</v>
      </c>
      <c r="M43" s="86"/>
      <c r="N43" s="86"/>
      <c r="O43" s="86"/>
      <c r="P43" s="86"/>
      <c r="Q43" s="86"/>
      <c r="R43" s="85">
        <f t="shared" si="1"/>
        <v>1583.176</v>
      </c>
      <c r="S43" s="48"/>
    </row>
    <row r="44" spans="1:19" s="15" customFormat="1" ht="15.75" hidden="1">
      <c r="A44" s="83"/>
      <c r="B44" s="340"/>
      <c r="C44" s="51"/>
      <c r="D44" s="72"/>
      <c r="E44" s="63"/>
      <c r="F44" s="59"/>
      <c r="G44" s="341">
        <f t="shared" si="2"/>
        <v>0</v>
      </c>
      <c r="H44" s="151"/>
      <c r="I44" s="341"/>
      <c r="J44" s="341"/>
      <c r="K44" s="86"/>
      <c r="L44" s="86"/>
      <c r="M44" s="86"/>
      <c r="N44" s="86"/>
      <c r="O44" s="86"/>
      <c r="P44" s="86"/>
      <c r="Q44" s="86"/>
      <c r="R44" s="85">
        <f t="shared" si="1"/>
        <v>0</v>
      </c>
      <c r="S44" s="48"/>
    </row>
    <row r="45" spans="1:19" s="15" customFormat="1" ht="31.5">
      <c r="A45" s="83"/>
      <c r="B45" s="340" t="s">
        <v>445</v>
      </c>
      <c r="C45" s="51">
        <v>3112</v>
      </c>
      <c r="D45" s="72"/>
      <c r="E45" s="63" t="s">
        <v>64</v>
      </c>
      <c r="F45" s="59" t="s">
        <v>444</v>
      </c>
      <c r="G45" s="341">
        <f t="shared" si="2"/>
        <v>10</v>
      </c>
      <c r="H45" s="151">
        <v>10</v>
      </c>
      <c r="I45" s="341"/>
      <c r="J45" s="341"/>
      <c r="K45" s="86"/>
      <c r="L45" s="86"/>
      <c r="M45" s="86"/>
      <c r="N45" s="86"/>
      <c r="O45" s="86"/>
      <c r="P45" s="86"/>
      <c r="Q45" s="86"/>
      <c r="R45" s="85">
        <f t="shared" si="1"/>
        <v>10</v>
      </c>
      <c r="S45" s="48"/>
    </row>
    <row r="46" spans="1:19" s="15" customFormat="1" ht="82.5" customHeight="1">
      <c r="A46" s="83"/>
      <c r="B46" s="224" t="s">
        <v>246</v>
      </c>
      <c r="C46" s="224" t="s">
        <v>244</v>
      </c>
      <c r="D46" s="225" t="s">
        <v>74</v>
      </c>
      <c r="E46" s="63" t="s">
        <v>74</v>
      </c>
      <c r="F46" s="226" t="s">
        <v>245</v>
      </c>
      <c r="G46" s="154">
        <f t="shared" si="2"/>
        <v>593</v>
      </c>
      <c r="H46" s="151">
        <f>600-7</f>
        <v>593</v>
      </c>
      <c r="I46" s="154"/>
      <c r="J46" s="154"/>
      <c r="K46" s="86"/>
      <c r="L46" s="86">
        <f t="shared" si="3"/>
        <v>0</v>
      </c>
      <c r="M46" s="86"/>
      <c r="N46" s="86"/>
      <c r="O46" s="86"/>
      <c r="P46" s="86"/>
      <c r="Q46" s="86"/>
      <c r="R46" s="85">
        <f t="shared" si="1"/>
        <v>593</v>
      </c>
      <c r="S46" s="48"/>
    </row>
    <row r="47" spans="1:19" s="15" customFormat="1" ht="15.75" hidden="1">
      <c r="A47" s="83"/>
      <c r="B47" s="155" t="s">
        <v>204</v>
      </c>
      <c r="C47" s="114">
        <v>3133</v>
      </c>
      <c r="D47" s="149"/>
      <c r="E47" s="111" t="s">
        <v>64</v>
      </c>
      <c r="F47" s="59" t="s">
        <v>165</v>
      </c>
      <c r="G47" s="154">
        <f aca="true" t="shared" si="4" ref="G47:G112">H47</f>
        <v>0</v>
      </c>
      <c r="H47" s="120"/>
      <c r="I47" s="120"/>
      <c r="J47" s="120"/>
      <c r="K47" s="88"/>
      <c r="L47" s="86">
        <f t="shared" si="3"/>
        <v>0</v>
      </c>
      <c r="M47" s="88"/>
      <c r="N47" s="88"/>
      <c r="O47" s="88"/>
      <c r="P47" s="88"/>
      <c r="Q47" s="88"/>
      <c r="R47" s="85">
        <f t="shared" si="1"/>
        <v>0</v>
      </c>
      <c r="S47" s="44"/>
    </row>
    <row r="48" spans="1:19" s="15" customFormat="1" ht="94.5" hidden="1">
      <c r="A48" s="83"/>
      <c r="B48" s="155" t="s">
        <v>199</v>
      </c>
      <c r="C48" s="51">
        <v>3160</v>
      </c>
      <c r="D48" s="77" t="s">
        <v>33</v>
      </c>
      <c r="E48" s="63" t="s">
        <v>74</v>
      </c>
      <c r="F48" s="59" t="s">
        <v>94</v>
      </c>
      <c r="G48" s="154">
        <f t="shared" si="4"/>
        <v>0</v>
      </c>
      <c r="H48" s="152"/>
      <c r="I48" s="152"/>
      <c r="J48" s="152"/>
      <c r="K48" s="129"/>
      <c r="L48" s="86">
        <f t="shared" si="3"/>
        <v>0</v>
      </c>
      <c r="M48" s="129"/>
      <c r="N48" s="129"/>
      <c r="O48" s="129"/>
      <c r="P48" s="129"/>
      <c r="Q48" s="129"/>
      <c r="R48" s="85">
        <f t="shared" si="1"/>
        <v>0</v>
      </c>
      <c r="S48" s="44"/>
    </row>
    <row r="49" spans="1:19" s="15" customFormat="1" ht="17.25" customHeight="1" hidden="1">
      <c r="A49" s="83"/>
      <c r="B49" s="155" t="s">
        <v>199</v>
      </c>
      <c r="C49" s="68">
        <v>3241</v>
      </c>
      <c r="D49" s="60"/>
      <c r="E49" s="68">
        <v>1090</v>
      </c>
      <c r="F49" s="89" t="s">
        <v>114</v>
      </c>
      <c r="G49" s="154">
        <f t="shared" si="4"/>
        <v>0</v>
      </c>
      <c r="H49" s="154"/>
      <c r="I49" s="154"/>
      <c r="J49" s="154"/>
      <c r="K49" s="85"/>
      <c r="L49" s="86">
        <f t="shared" si="3"/>
        <v>0</v>
      </c>
      <c r="M49" s="85"/>
      <c r="N49" s="85"/>
      <c r="O49" s="85"/>
      <c r="P49" s="85"/>
      <c r="Q49" s="85"/>
      <c r="R49" s="85">
        <f t="shared" si="1"/>
        <v>0</v>
      </c>
      <c r="S49" s="44"/>
    </row>
    <row r="50" spans="1:19" s="15" customFormat="1" ht="32.25" customHeight="1">
      <c r="A50" s="83"/>
      <c r="B50" s="155" t="s">
        <v>322</v>
      </c>
      <c r="C50" s="235">
        <v>3241</v>
      </c>
      <c r="D50" s="167"/>
      <c r="E50" s="235">
        <v>1090</v>
      </c>
      <c r="F50" s="236" t="s">
        <v>114</v>
      </c>
      <c r="G50" s="154">
        <f t="shared" si="4"/>
        <v>8816.635</v>
      </c>
      <c r="H50" s="154">
        <f>8262.393+208.73+166.512+80+38+14+17+30</f>
        <v>8816.635</v>
      </c>
      <c r="I50" s="154">
        <f>7714.377+180+166.512+9.2</f>
        <v>8070.089</v>
      </c>
      <c r="J50" s="154">
        <f>219.285+38</f>
        <v>257.28499999999997</v>
      </c>
      <c r="K50" s="86"/>
      <c r="L50" s="86">
        <f t="shared" si="3"/>
        <v>22.795</v>
      </c>
      <c r="M50" s="86"/>
      <c r="N50" s="86">
        <v>22.795</v>
      </c>
      <c r="O50" s="86">
        <v>22.702</v>
      </c>
      <c r="P50" s="86"/>
      <c r="Q50" s="86"/>
      <c r="R50" s="85">
        <f t="shared" si="1"/>
        <v>8839.43</v>
      </c>
      <c r="S50" s="44"/>
    </row>
    <row r="51" spans="1:19" s="15" customFormat="1" ht="32.25" customHeight="1">
      <c r="A51" s="83"/>
      <c r="B51" s="340" t="s">
        <v>321</v>
      </c>
      <c r="C51" s="235">
        <v>3242</v>
      </c>
      <c r="D51" s="345"/>
      <c r="E51" s="235">
        <v>1090</v>
      </c>
      <c r="F51" s="236" t="s">
        <v>323</v>
      </c>
      <c r="G51" s="341">
        <f t="shared" si="4"/>
        <v>142</v>
      </c>
      <c r="H51" s="341">
        <f>10+89+13+30</f>
        <v>142</v>
      </c>
      <c r="I51" s="341"/>
      <c r="J51" s="341"/>
      <c r="K51" s="86"/>
      <c r="L51" s="86"/>
      <c r="M51" s="86"/>
      <c r="N51" s="86"/>
      <c r="O51" s="86"/>
      <c r="P51" s="86"/>
      <c r="Q51" s="86"/>
      <c r="R51" s="85">
        <f t="shared" si="1"/>
        <v>142</v>
      </c>
      <c r="S51" s="44"/>
    </row>
    <row r="52" spans="1:19" s="15" customFormat="1" ht="30.75" customHeight="1">
      <c r="A52" s="83"/>
      <c r="B52" s="155" t="s">
        <v>205</v>
      </c>
      <c r="C52" s="51">
        <v>4030</v>
      </c>
      <c r="D52" s="78">
        <v>110201</v>
      </c>
      <c r="E52" s="73" t="s">
        <v>76</v>
      </c>
      <c r="F52" s="59" t="s">
        <v>79</v>
      </c>
      <c r="G52" s="154">
        <f t="shared" si="4"/>
        <v>2911.215</v>
      </c>
      <c r="H52" s="154">
        <f>4649.62-1738.405</f>
        <v>2911.215</v>
      </c>
      <c r="I52" s="154">
        <f>4245.34-1285.283-274.943</f>
        <v>2685.1140000000005</v>
      </c>
      <c r="J52" s="154">
        <f>273.9-6.593-1.708-43.866-49.091-22.23</f>
        <v>150.41199999999995</v>
      </c>
      <c r="K52" s="86"/>
      <c r="L52" s="86">
        <f t="shared" si="3"/>
        <v>13.777000000000001</v>
      </c>
      <c r="M52" s="86">
        <f>10-2.223</f>
        <v>7.777</v>
      </c>
      <c r="N52" s="86">
        <v>6</v>
      </c>
      <c r="O52" s="86"/>
      <c r="P52" s="86"/>
      <c r="Q52" s="86">
        <f>M52</f>
        <v>7.777</v>
      </c>
      <c r="R52" s="85">
        <f t="shared" si="1"/>
        <v>2924.992</v>
      </c>
      <c r="S52" s="44"/>
    </row>
    <row r="53" spans="1:19" s="15" customFormat="1" ht="30.75" customHeight="1">
      <c r="A53" s="83"/>
      <c r="B53" s="155" t="s">
        <v>206</v>
      </c>
      <c r="C53" s="51">
        <v>4040</v>
      </c>
      <c r="D53" s="74">
        <v>110202</v>
      </c>
      <c r="E53" s="76" t="s">
        <v>76</v>
      </c>
      <c r="F53" s="59" t="s">
        <v>80</v>
      </c>
      <c r="G53" s="154">
        <f t="shared" si="4"/>
        <v>766.6390000000001</v>
      </c>
      <c r="H53" s="154">
        <f>1383.602-616.963</f>
        <v>766.6390000000001</v>
      </c>
      <c r="I53" s="154">
        <f>1007.783+44.622-329.178-71.87</f>
        <v>651.357</v>
      </c>
      <c r="J53" s="154">
        <f>145.729+74.784-1.701-105.576</f>
        <v>113.23600000000005</v>
      </c>
      <c r="K53" s="86"/>
      <c r="L53" s="86">
        <f t="shared" si="3"/>
        <v>0.5</v>
      </c>
      <c r="M53" s="86"/>
      <c r="N53" s="86">
        <v>0.5</v>
      </c>
      <c r="O53" s="86"/>
      <c r="P53" s="86"/>
      <c r="Q53" s="86"/>
      <c r="R53" s="85">
        <f t="shared" si="1"/>
        <v>767.1390000000001</v>
      </c>
      <c r="S53" s="44"/>
    </row>
    <row r="54" spans="1:19" s="15" customFormat="1" ht="35.25" customHeight="1">
      <c r="A54" s="83"/>
      <c r="B54" s="155" t="s">
        <v>207</v>
      </c>
      <c r="C54" s="51">
        <v>4060</v>
      </c>
      <c r="D54" s="79">
        <v>110204</v>
      </c>
      <c r="E54" s="80" t="s">
        <v>75</v>
      </c>
      <c r="F54" s="59" t="s">
        <v>81</v>
      </c>
      <c r="G54" s="154">
        <f t="shared" si="4"/>
        <v>4846.07</v>
      </c>
      <c r="H54" s="154">
        <f>7040.041+344.983-2538.954</f>
        <v>4846.07</v>
      </c>
      <c r="I54" s="154">
        <f>5914.059-1368.737-357.5</f>
        <v>4187.822</v>
      </c>
      <c r="J54" s="154">
        <f>854.302-17.541-76.831-319.332-62.792</f>
        <v>377.8059999999999</v>
      </c>
      <c r="K54" s="86"/>
      <c r="L54" s="86">
        <f t="shared" si="3"/>
        <v>39.913</v>
      </c>
      <c r="M54" s="86"/>
      <c r="N54" s="86">
        <v>39.913</v>
      </c>
      <c r="O54" s="86">
        <v>39.813</v>
      </c>
      <c r="P54" s="86">
        <v>0.1</v>
      </c>
      <c r="Q54" s="86"/>
      <c r="R54" s="85">
        <f t="shared" si="1"/>
        <v>4885.982999999999</v>
      </c>
      <c r="S54" s="44"/>
    </row>
    <row r="55" spans="1:19" s="15" customFormat="1" ht="23.25" customHeight="1">
      <c r="A55" s="83"/>
      <c r="B55" s="155" t="s">
        <v>208</v>
      </c>
      <c r="C55" s="81">
        <v>4082</v>
      </c>
      <c r="D55" s="78"/>
      <c r="E55" s="82" t="s">
        <v>82</v>
      </c>
      <c r="F55" s="71" t="s">
        <v>95</v>
      </c>
      <c r="G55" s="154">
        <f t="shared" si="4"/>
        <v>584.166</v>
      </c>
      <c r="H55" s="154">
        <f>515.541+28.3+40.325</f>
        <v>584.166</v>
      </c>
      <c r="I55" s="154"/>
      <c r="J55" s="154"/>
      <c r="K55" s="86"/>
      <c r="L55" s="86">
        <f t="shared" si="3"/>
        <v>0</v>
      </c>
      <c r="M55" s="86"/>
      <c r="N55" s="86"/>
      <c r="O55" s="86"/>
      <c r="P55" s="86"/>
      <c r="Q55" s="86"/>
      <c r="R55" s="85">
        <f t="shared" si="1"/>
        <v>584.166</v>
      </c>
      <c r="S55" s="44"/>
    </row>
    <row r="56" spans="1:19" s="15" customFormat="1" ht="35.25" customHeight="1" hidden="1">
      <c r="A56" s="83"/>
      <c r="B56" s="340"/>
      <c r="C56" s="81"/>
      <c r="D56" s="78"/>
      <c r="E56" s="82"/>
      <c r="F56" s="71"/>
      <c r="G56" s="341"/>
      <c r="H56" s="341"/>
      <c r="I56" s="341"/>
      <c r="J56" s="341"/>
      <c r="K56" s="86"/>
      <c r="L56" s="86">
        <f t="shared" si="3"/>
        <v>0</v>
      </c>
      <c r="M56" s="86"/>
      <c r="N56" s="86"/>
      <c r="O56" s="86"/>
      <c r="P56" s="86"/>
      <c r="Q56" s="86"/>
      <c r="R56" s="85">
        <f t="shared" si="1"/>
        <v>0</v>
      </c>
      <c r="S56" s="44"/>
    </row>
    <row r="57" spans="1:19" s="15" customFormat="1" ht="35.25" customHeight="1" hidden="1">
      <c r="A57" s="83"/>
      <c r="B57" s="340"/>
      <c r="C57" s="81"/>
      <c r="D57" s="78"/>
      <c r="E57" s="63"/>
      <c r="F57" s="71"/>
      <c r="G57" s="341"/>
      <c r="H57" s="341"/>
      <c r="I57" s="341"/>
      <c r="J57" s="341"/>
      <c r="K57" s="86"/>
      <c r="L57" s="86">
        <f t="shared" si="3"/>
        <v>0</v>
      </c>
      <c r="M57" s="86"/>
      <c r="N57" s="86"/>
      <c r="O57" s="86"/>
      <c r="P57" s="86"/>
      <c r="Q57" s="86"/>
      <c r="R57" s="85">
        <f t="shared" si="1"/>
        <v>0</v>
      </c>
      <c r="S57" s="44"/>
    </row>
    <row r="58" spans="1:19" s="15" customFormat="1" ht="35.25" customHeight="1">
      <c r="A58" s="83"/>
      <c r="B58" s="155" t="s">
        <v>209</v>
      </c>
      <c r="C58" s="51">
        <v>5031</v>
      </c>
      <c r="D58" s="52">
        <v>130107</v>
      </c>
      <c r="E58" s="63" t="s">
        <v>65</v>
      </c>
      <c r="F58" s="59" t="s">
        <v>21</v>
      </c>
      <c r="G58" s="154">
        <f t="shared" si="4"/>
        <v>1792.8170000000002</v>
      </c>
      <c r="H58" s="154">
        <f>2942.059+30+33.078-1212.32</f>
        <v>1792.8170000000002</v>
      </c>
      <c r="I58" s="154">
        <f>2330.857-776.776-171.168</f>
        <v>1382.913</v>
      </c>
      <c r="J58" s="154">
        <f>192.2-3.423-8.414-55.75-1.533</f>
        <v>123.08</v>
      </c>
      <c r="K58" s="86"/>
      <c r="L58" s="86">
        <f t="shared" si="3"/>
        <v>0</v>
      </c>
      <c r="M58" s="86"/>
      <c r="N58" s="86"/>
      <c r="O58" s="86"/>
      <c r="P58" s="86"/>
      <c r="Q58" s="86"/>
      <c r="R58" s="85">
        <f t="shared" si="1"/>
        <v>1792.8170000000002</v>
      </c>
      <c r="S58" s="44"/>
    </row>
    <row r="59" spans="1:19" s="15" customFormat="1" ht="58.5" customHeight="1" hidden="1">
      <c r="A59" s="83"/>
      <c r="B59" s="340"/>
      <c r="C59" s="51"/>
      <c r="D59" s="52"/>
      <c r="E59" s="63"/>
      <c r="F59" s="59"/>
      <c r="G59" s="341"/>
      <c r="H59" s="341"/>
      <c r="I59" s="341"/>
      <c r="J59" s="341"/>
      <c r="K59" s="86"/>
      <c r="L59" s="86">
        <f t="shared" si="3"/>
        <v>0</v>
      </c>
      <c r="M59" s="86"/>
      <c r="N59" s="86"/>
      <c r="O59" s="86"/>
      <c r="P59" s="86"/>
      <c r="Q59" s="86"/>
      <c r="R59" s="85">
        <f t="shared" si="1"/>
        <v>0</v>
      </c>
      <c r="S59" s="44"/>
    </row>
    <row r="60" spans="1:19" s="15" customFormat="1" ht="35.25" customHeight="1">
      <c r="A60" s="83"/>
      <c r="B60" s="155" t="s">
        <v>210</v>
      </c>
      <c r="C60" s="51">
        <v>5062</v>
      </c>
      <c r="D60" s="52"/>
      <c r="E60" s="63" t="s">
        <v>65</v>
      </c>
      <c r="F60" s="59" t="s">
        <v>166</v>
      </c>
      <c r="G60" s="154">
        <f t="shared" si="4"/>
        <v>1073.817</v>
      </c>
      <c r="H60" s="154">
        <f>1709.407+105+182.4-922.99</f>
        <v>1073.817</v>
      </c>
      <c r="I60" s="154">
        <f>1506.179-480.083-105.329</f>
        <v>920.767</v>
      </c>
      <c r="J60" s="154">
        <f>245.578-4.444-17.123-109.681-0.528</f>
        <v>113.80200000000002</v>
      </c>
      <c r="K60" s="86"/>
      <c r="L60" s="86">
        <f t="shared" si="3"/>
        <v>21.636</v>
      </c>
      <c r="M60" s="86">
        <v>21.636</v>
      </c>
      <c r="N60" s="86"/>
      <c r="O60" s="86"/>
      <c r="P60" s="86"/>
      <c r="Q60" s="86">
        <v>21.636</v>
      </c>
      <c r="R60" s="85">
        <f t="shared" si="1"/>
        <v>1095.453</v>
      </c>
      <c r="S60" s="44"/>
    </row>
    <row r="61" spans="1:19" s="15" customFormat="1" ht="35.25" customHeight="1">
      <c r="A61" s="83"/>
      <c r="B61" s="340" t="s">
        <v>290</v>
      </c>
      <c r="C61" s="111" t="s">
        <v>291</v>
      </c>
      <c r="D61" s="52"/>
      <c r="E61" s="111" t="s">
        <v>167</v>
      </c>
      <c r="F61" s="136" t="s">
        <v>292</v>
      </c>
      <c r="G61" s="341">
        <f t="shared" si="4"/>
        <v>0</v>
      </c>
      <c r="H61" s="341"/>
      <c r="I61" s="341"/>
      <c r="J61" s="341"/>
      <c r="K61" s="154"/>
      <c r="L61" s="86">
        <f t="shared" si="3"/>
        <v>48.6</v>
      </c>
      <c r="M61" s="154">
        <v>48.6</v>
      </c>
      <c r="N61" s="154"/>
      <c r="O61" s="154"/>
      <c r="P61" s="154"/>
      <c r="Q61" s="154">
        <v>48.6</v>
      </c>
      <c r="R61" s="134">
        <f t="shared" si="1"/>
        <v>48.6</v>
      </c>
      <c r="S61" s="44"/>
    </row>
    <row r="62" spans="1:19" s="15" customFormat="1" ht="35.25" customHeight="1">
      <c r="A62" s="83"/>
      <c r="B62" s="218" t="s">
        <v>211</v>
      </c>
      <c r="C62" s="114">
        <v>6013</v>
      </c>
      <c r="D62" s="114"/>
      <c r="E62" s="111" t="s">
        <v>167</v>
      </c>
      <c r="F62" s="136" t="s">
        <v>212</v>
      </c>
      <c r="G62" s="154">
        <f t="shared" si="4"/>
        <v>645.608</v>
      </c>
      <c r="H62" s="154">
        <f>557.208-150+33.4+15+50+140</f>
        <v>645.608</v>
      </c>
      <c r="I62" s="154"/>
      <c r="J62" s="154"/>
      <c r="K62" s="86"/>
      <c r="L62" s="154">
        <f t="shared" si="3"/>
        <v>1700</v>
      </c>
      <c r="M62" s="86">
        <v>1700</v>
      </c>
      <c r="N62" s="86"/>
      <c r="O62" s="86"/>
      <c r="P62" s="86"/>
      <c r="Q62" s="86">
        <v>1700</v>
      </c>
      <c r="R62" s="85">
        <f t="shared" si="1"/>
        <v>2345.608</v>
      </c>
      <c r="S62" s="44"/>
    </row>
    <row r="63" spans="1:19" s="15" customFormat="1" ht="35.25" customHeight="1">
      <c r="A63" s="83"/>
      <c r="B63" s="218" t="s">
        <v>305</v>
      </c>
      <c r="C63" s="114">
        <v>6014</v>
      </c>
      <c r="D63" s="342"/>
      <c r="E63" s="111" t="s">
        <v>167</v>
      </c>
      <c r="F63" s="136" t="s">
        <v>306</v>
      </c>
      <c r="G63" s="341">
        <f t="shared" si="4"/>
        <v>615</v>
      </c>
      <c r="H63" s="341">
        <f>400+215</f>
        <v>615</v>
      </c>
      <c r="I63" s="341"/>
      <c r="J63" s="341"/>
      <c r="K63" s="86"/>
      <c r="L63" s="341">
        <f t="shared" si="3"/>
        <v>0</v>
      </c>
      <c r="M63" s="86"/>
      <c r="N63" s="86"/>
      <c r="O63" s="86"/>
      <c r="P63" s="86"/>
      <c r="Q63" s="86"/>
      <c r="R63" s="85">
        <f t="shared" si="1"/>
        <v>615</v>
      </c>
      <c r="S63" s="44"/>
    </row>
    <row r="64" spans="1:19" s="15" customFormat="1" ht="27.75" customHeight="1">
      <c r="A64" s="83"/>
      <c r="B64" s="218" t="s">
        <v>213</v>
      </c>
      <c r="C64" s="114">
        <v>6030</v>
      </c>
      <c r="D64" s="211"/>
      <c r="E64" s="111" t="s">
        <v>167</v>
      </c>
      <c r="F64" s="136" t="s">
        <v>168</v>
      </c>
      <c r="G64" s="154">
        <f t="shared" si="4"/>
        <v>7163.934999999999</v>
      </c>
      <c r="H64" s="154">
        <f>8500-1900.251+125+37.69-0.848+105+152.544+50+49.9+44.9</f>
        <v>7163.934999999999</v>
      </c>
      <c r="I64" s="154"/>
      <c r="J64" s="154">
        <f>1276-60</f>
        <v>1216</v>
      </c>
      <c r="K64" s="86"/>
      <c r="L64" s="341">
        <f t="shared" si="3"/>
        <v>295</v>
      </c>
      <c r="M64" s="86">
        <f>250+45</f>
        <v>295</v>
      </c>
      <c r="N64" s="86"/>
      <c r="O64" s="86"/>
      <c r="P64" s="86"/>
      <c r="Q64" s="86">
        <v>295</v>
      </c>
      <c r="R64" s="85">
        <f t="shared" si="1"/>
        <v>7458.934999999999</v>
      </c>
      <c r="S64" s="44"/>
    </row>
    <row r="65" spans="1:19" s="15" customFormat="1" ht="89.25" customHeight="1">
      <c r="A65" s="83"/>
      <c r="B65" s="218" t="s">
        <v>436</v>
      </c>
      <c r="C65" s="114">
        <v>6083</v>
      </c>
      <c r="D65" s="390"/>
      <c r="E65" s="111" t="s">
        <v>440</v>
      </c>
      <c r="F65" s="136" t="s">
        <v>437</v>
      </c>
      <c r="G65" s="341">
        <f t="shared" si="4"/>
        <v>0</v>
      </c>
      <c r="H65" s="341"/>
      <c r="I65" s="341"/>
      <c r="J65" s="341"/>
      <c r="K65" s="86"/>
      <c r="L65" s="341">
        <f t="shared" si="3"/>
        <v>834.954</v>
      </c>
      <c r="M65" s="86">
        <f>417.477+292.234+125.243</f>
        <v>834.954</v>
      </c>
      <c r="N65" s="86"/>
      <c r="O65" s="86"/>
      <c r="P65" s="86"/>
      <c r="Q65" s="86">
        <f>417.477+292.234+125.243</f>
        <v>834.954</v>
      </c>
      <c r="R65" s="85">
        <f t="shared" si="1"/>
        <v>834.954</v>
      </c>
      <c r="S65" s="44"/>
    </row>
    <row r="66" spans="1:19" s="15" customFormat="1" ht="27.75" customHeight="1">
      <c r="A66" s="83"/>
      <c r="B66" s="218" t="s">
        <v>307</v>
      </c>
      <c r="C66" s="114">
        <v>7130</v>
      </c>
      <c r="D66" s="342"/>
      <c r="E66" s="111" t="s">
        <v>308</v>
      </c>
      <c r="F66" s="136" t="s">
        <v>309</v>
      </c>
      <c r="G66" s="341">
        <f t="shared" si="4"/>
        <v>42.037</v>
      </c>
      <c r="H66" s="341">
        <f>15.57+26.467</f>
        <v>42.037</v>
      </c>
      <c r="I66" s="341"/>
      <c r="J66" s="341"/>
      <c r="K66" s="86"/>
      <c r="L66" s="341">
        <f t="shared" si="3"/>
        <v>0</v>
      </c>
      <c r="M66" s="86"/>
      <c r="N66" s="86"/>
      <c r="O66" s="86"/>
      <c r="P66" s="86"/>
      <c r="Q66" s="86"/>
      <c r="R66" s="85">
        <f t="shared" si="1"/>
        <v>42.037</v>
      </c>
      <c r="S66" s="44"/>
    </row>
    <row r="67" spans="1:19" s="15" customFormat="1" ht="27.75" customHeight="1" hidden="1">
      <c r="A67" s="83"/>
      <c r="B67" s="218"/>
      <c r="C67" s="114"/>
      <c r="D67" s="342"/>
      <c r="E67" s="111"/>
      <c r="F67" s="136"/>
      <c r="G67" s="341"/>
      <c r="H67" s="341"/>
      <c r="I67" s="341"/>
      <c r="J67" s="341"/>
      <c r="K67" s="86"/>
      <c r="L67" s="341"/>
      <c r="M67" s="86"/>
      <c r="N67" s="86"/>
      <c r="O67" s="86"/>
      <c r="P67" s="86"/>
      <c r="Q67" s="86"/>
      <c r="R67" s="85"/>
      <c r="S67" s="44"/>
    </row>
    <row r="68" spans="1:19" s="15" customFormat="1" ht="37.5" customHeight="1">
      <c r="A68" s="83"/>
      <c r="B68" s="218" t="s">
        <v>310</v>
      </c>
      <c r="C68" s="114">
        <v>7310</v>
      </c>
      <c r="D68" s="342"/>
      <c r="E68" s="149" t="s">
        <v>238</v>
      </c>
      <c r="F68" s="136" t="s">
        <v>311</v>
      </c>
      <c r="G68" s="341">
        <f t="shared" si="4"/>
        <v>0</v>
      </c>
      <c r="H68" s="341"/>
      <c r="I68" s="341"/>
      <c r="J68" s="341"/>
      <c r="K68" s="86"/>
      <c r="L68" s="341">
        <f>199.9+84</f>
        <v>283.9</v>
      </c>
      <c r="M68" s="86">
        <f>199.9+84</f>
        <v>283.9</v>
      </c>
      <c r="N68" s="86"/>
      <c r="O68" s="86"/>
      <c r="P68" s="86"/>
      <c r="Q68" s="86">
        <f>199.9+84</f>
        <v>283.9</v>
      </c>
      <c r="R68" s="85">
        <f t="shared" si="1"/>
        <v>283.9</v>
      </c>
      <c r="S68" s="44"/>
    </row>
    <row r="69" spans="1:19" s="15" customFormat="1" ht="30" customHeight="1">
      <c r="A69" s="83"/>
      <c r="B69" s="218" t="s">
        <v>237</v>
      </c>
      <c r="C69" s="114">
        <v>7321</v>
      </c>
      <c r="D69" s="214"/>
      <c r="E69" s="111" t="s">
        <v>238</v>
      </c>
      <c r="F69" s="136" t="s">
        <v>239</v>
      </c>
      <c r="G69" s="341">
        <f t="shared" si="4"/>
        <v>0</v>
      </c>
      <c r="H69" s="154"/>
      <c r="I69" s="154"/>
      <c r="J69" s="154"/>
      <c r="K69" s="86"/>
      <c r="L69" s="86">
        <f>N69+Q69</f>
        <v>79.07</v>
      </c>
      <c r="M69" s="86">
        <f>115.9-115.9+79.07</f>
        <v>79.07</v>
      </c>
      <c r="N69" s="86"/>
      <c r="O69" s="86"/>
      <c r="P69" s="86"/>
      <c r="Q69" s="86">
        <f>115.9-115.9+79.07</f>
        <v>79.07</v>
      </c>
      <c r="R69" s="85">
        <f t="shared" si="1"/>
        <v>79.07</v>
      </c>
      <c r="S69" s="44"/>
    </row>
    <row r="70" spans="1:19" s="15" customFormat="1" ht="30" customHeight="1">
      <c r="A70" s="83"/>
      <c r="B70" s="218" t="s">
        <v>312</v>
      </c>
      <c r="C70" s="114">
        <v>7322</v>
      </c>
      <c r="D70" s="342"/>
      <c r="E70" s="111" t="s">
        <v>238</v>
      </c>
      <c r="F70" s="136" t="s">
        <v>313</v>
      </c>
      <c r="G70" s="341">
        <f>H70</f>
        <v>0</v>
      </c>
      <c r="H70" s="341"/>
      <c r="I70" s="341"/>
      <c r="J70" s="341"/>
      <c r="K70" s="86"/>
      <c r="L70" s="341">
        <f>M70</f>
        <v>3633.2929999999997</v>
      </c>
      <c r="M70" s="86">
        <f>3617.584+15.709</f>
        <v>3633.2929999999997</v>
      </c>
      <c r="N70" s="86"/>
      <c r="O70" s="86"/>
      <c r="P70" s="86"/>
      <c r="Q70" s="86">
        <f>3617.584+15.709</f>
        <v>3633.2929999999997</v>
      </c>
      <c r="R70" s="85">
        <f>L70+G70</f>
        <v>3633.2929999999997</v>
      </c>
      <c r="S70" s="44"/>
    </row>
    <row r="71" spans="1:19" s="15" customFormat="1" ht="30" customHeight="1">
      <c r="A71" s="83"/>
      <c r="B71" s="218" t="s">
        <v>453</v>
      </c>
      <c r="C71" s="114">
        <v>7323</v>
      </c>
      <c r="D71" s="416"/>
      <c r="E71" s="220" t="s">
        <v>238</v>
      </c>
      <c r="F71" s="136" t="s">
        <v>454</v>
      </c>
      <c r="G71" s="341"/>
      <c r="H71" s="341"/>
      <c r="I71" s="341"/>
      <c r="J71" s="341"/>
      <c r="K71" s="86"/>
      <c r="L71" s="341">
        <f>M71</f>
        <v>186.812</v>
      </c>
      <c r="M71" s="86">
        <v>186.812</v>
      </c>
      <c r="N71" s="86"/>
      <c r="O71" s="86"/>
      <c r="P71" s="86"/>
      <c r="Q71" s="86">
        <v>186.812</v>
      </c>
      <c r="R71" s="85">
        <f>L71+G71</f>
        <v>186.812</v>
      </c>
      <c r="S71" s="44"/>
    </row>
    <row r="72" spans="1:19" s="15" customFormat="1" ht="30" customHeight="1">
      <c r="A72" s="83"/>
      <c r="B72" s="218" t="s">
        <v>314</v>
      </c>
      <c r="C72" s="114">
        <v>7330</v>
      </c>
      <c r="D72" s="342"/>
      <c r="E72" s="220" t="s">
        <v>238</v>
      </c>
      <c r="F72" s="136" t="s">
        <v>315</v>
      </c>
      <c r="G72" s="341">
        <f t="shared" si="4"/>
        <v>0</v>
      </c>
      <c r="H72" s="341"/>
      <c r="I72" s="341"/>
      <c r="J72" s="341"/>
      <c r="K72" s="86"/>
      <c r="L72" s="341">
        <f>M72</f>
        <v>4026.67</v>
      </c>
      <c r="M72" s="86">
        <f>2109.271-25+1039.625+375-68.747+94.747+501.774</f>
        <v>4026.67</v>
      </c>
      <c r="N72" s="86"/>
      <c r="O72" s="86"/>
      <c r="P72" s="86"/>
      <c r="Q72" s="86">
        <f>3524.896+501.774</f>
        <v>4026.67</v>
      </c>
      <c r="R72" s="85">
        <f t="shared" si="1"/>
        <v>4026.67</v>
      </c>
      <c r="S72" s="44"/>
    </row>
    <row r="73" spans="1:19" s="15" customFormat="1" ht="40.5" customHeight="1">
      <c r="A73" s="83"/>
      <c r="B73" s="218" t="s">
        <v>316</v>
      </c>
      <c r="C73" s="114">
        <v>7461</v>
      </c>
      <c r="D73" s="342"/>
      <c r="E73" s="220" t="s">
        <v>317</v>
      </c>
      <c r="F73" s="136" t="s">
        <v>318</v>
      </c>
      <c r="G73" s="341">
        <f t="shared" si="4"/>
        <v>1821.6</v>
      </c>
      <c r="H73" s="341">
        <v>1821.6</v>
      </c>
      <c r="I73" s="341"/>
      <c r="J73" s="341"/>
      <c r="K73" s="86"/>
      <c r="L73" s="86"/>
      <c r="M73" s="86"/>
      <c r="N73" s="86"/>
      <c r="O73" s="86"/>
      <c r="P73" s="86"/>
      <c r="Q73" s="86"/>
      <c r="R73" s="85">
        <f t="shared" si="1"/>
        <v>1821.6</v>
      </c>
      <c r="S73" s="44"/>
    </row>
    <row r="74" spans="1:19" s="15" customFormat="1" ht="48" customHeight="1">
      <c r="A74" s="83"/>
      <c r="B74" s="218" t="s">
        <v>393</v>
      </c>
      <c r="C74" s="114">
        <v>7540</v>
      </c>
      <c r="D74" s="368"/>
      <c r="E74" s="220" t="s">
        <v>394</v>
      </c>
      <c r="F74" s="165" t="s">
        <v>395</v>
      </c>
      <c r="G74" s="341">
        <f t="shared" si="4"/>
        <v>484.737</v>
      </c>
      <c r="H74" s="341">
        <v>484.737</v>
      </c>
      <c r="I74" s="341"/>
      <c r="J74" s="341"/>
      <c r="K74" s="86"/>
      <c r="L74" s="86"/>
      <c r="M74" s="86"/>
      <c r="N74" s="86"/>
      <c r="O74" s="86"/>
      <c r="P74" s="86"/>
      <c r="Q74" s="86"/>
      <c r="R74" s="85">
        <f t="shared" si="1"/>
        <v>484.737</v>
      </c>
      <c r="S74" s="44"/>
    </row>
    <row r="75" spans="1:19" s="15" customFormat="1" ht="30.75" customHeight="1">
      <c r="A75" s="83"/>
      <c r="B75" s="218" t="s">
        <v>319</v>
      </c>
      <c r="C75" s="114">
        <v>7693</v>
      </c>
      <c r="D75" s="342"/>
      <c r="E75" s="220" t="s">
        <v>223</v>
      </c>
      <c r="F75" s="226" t="s">
        <v>224</v>
      </c>
      <c r="G75" s="341">
        <f t="shared" si="4"/>
        <v>0</v>
      </c>
      <c r="H75" s="341">
        <f>60-60</f>
        <v>0</v>
      </c>
      <c r="I75" s="341"/>
      <c r="J75" s="341"/>
      <c r="K75" s="86"/>
      <c r="L75" s="86">
        <v>83.667</v>
      </c>
      <c r="M75" s="86">
        <v>83.667</v>
      </c>
      <c r="N75" s="86"/>
      <c r="O75" s="86"/>
      <c r="P75" s="86"/>
      <c r="Q75" s="86">
        <v>83.667</v>
      </c>
      <c r="R75" s="85">
        <f t="shared" si="1"/>
        <v>83.667</v>
      </c>
      <c r="S75" s="44"/>
    </row>
    <row r="76" spans="1:19" s="15" customFormat="1" ht="39" customHeight="1">
      <c r="A76" s="83"/>
      <c r="B76" s="155" t="s">
        <v>214</v>
      </c>
      <c r="C76" s="114">
        <v>8330</v>
      </c>
      <c r="D76" s="219"/>
      <c r="E76" s="220" t="s">
        <v>215</v>
      </c>
      <c r="F76" s="136" t="s">
        <v>216</v>
      </c>
      <c r="G76" s="341">
        <f t="shared" si="4"/>
        <v>0</v>
      </c>
      <c r="H76" s="135"/>
      <c r="I76" s="135"/>
      <c r="J76" s="135"/>
      <c r="K76" s="86"/>
      <c r="L76" s="86">
        <f>N76</f>
        <v>193.9</v>
      </c>
      <c r="M76" s="86"/>
      <c r="N76" s="86">
        <f>64+30+49.9+50</f>
        <v>193.9</v>
      </c>
      <c r="O76" s="86"/>
      <c r="P76" s="86"/>
      <c r="Q76" s="86"/>
      <c r="R76" s="85">
        <f t="shared" si="1"/>
        <v>193.9</v>
      </c>
      <c r="S76" s="44"/>
    </row>
    <row r="77" spans="1:19" s="15" customFormat="1" ht="47.25" customHeight="1">
      <c r="A77" s="83"/>
      <c r="B77" s="340"/>
      <c r="C77" s="57" t="s">
        <v>408</v>
      </c>
      <c r="D77" s="219"/>
      <c r="E77" s="220"/>
      <c r="F77" s="133" t="s">
        <v>442</v>
      </c>
      <c r="G77" s="134">
        <f>SUM(G78:G112)</f>
        <v>58444.40400000001</v>
      </c>
      <c r="H77" s="134">
        <f aca="true" t="shared" si="5" ref="H77:R77">SUM(H78:H112)</f>
        <v>58444.40400000001</v>
      </c>
      <c r="I77" s="134">
        <f t="shared" si="5"/>
        <v>40212.11800000001</v>
      </c>
      <c r="J77" s="134">
        <f t="shared" si="5"/>
        <v>8653.358999999999</v>
      </c>
      <c r="K77" s="134">
        <f t="shared" si="5"/>
        <v>0</v>
      </c>
      <c r="L77" s="134">
        <f>SUM(L78:L112)</f>
        <v>6490.004000000001</v>
      </c>
      <c r="M77" s="134">
        <f t="shared" si="5"/>
        <v>6490.004000000001</v>
      </c>
      <c r="N77" s="134">
        <f t="shared" si="5"/>
        <v>0</v>
      </c>
      <c r="O77" s="134">
        <f t="shared" si="5"/>
        <v>0</v>
      </c>
      <c r="P77" s="134">
        <f t="shared" si="5"/>
        <v>0</v>
      </c>
      <c r="Q77" s="134">
        <f t="shared" si="5"/>
        <v>6490.004000000001</v>
      </c>
      <c r="R77" s="134">
        <f t="shared" si="5"/>
        <v>64934.40800000001</v>
      </c>
      <c r="S77" s="44"/>
    </row>
    <row r="78" spans="1:19" s="15" customFormat="1" ht="39" customHeight="1">
      <c r="A78" s="83"/>
      <c r="B78" s="340" t="s">
        <v>433</v>
      </c>
      <c r="C78" s="63" t="s">
        <v>164</v>
      </c>
      <c r="D78" s="219"/>
      <c r="E78" s="75" t="s">
        <v>62</v>
      </c>
      <c r="F78" s="226" t="s">
        <v>230</v>
      </c>
      <c r="G78" s="341">
        <f>H78</f>
        <v>913.589</v>
      </c>
      <c r="H78" s="341">
        <f>742.697+59.48+3-39.704+99+49.116</f>
        <v>913.589</v>
      </c>
      <c r="I78" s="341">
        <f>749.093+37.8+8.316</f>
        <v>795.209</v>
      </c>
      <c r="J78" s="341">
        <f>2.702+16.002+11-29.704</f>
        <v>0</v>
      </c>
      <c r="K78" s="341"/>
      <c r="L78" s="341"/>
      <c r="M78" s="341"/>
      <c r="N78" s="341"/>
      <c r="O78" s="341"/>
      <c r="P78" s="341"/>
      <c r="Q78" s="341"/>
      <c r="R78" s="85">
        <f aca="true" t="shared" si="6" ref="R78:R112">L78+G78</f>
        <v>913.589</v>
      </c>
      <c r="S78" s="44"/>
    </row>
    <row r="79" spans="1:19" s="15" customFormat="1" ht="39" customHeight="1">
      <c r="A79" s="83"/>
      <c r="B79" s="84" t="s">
        <v>409</v>
      </c>
      <c r="C79" s="51">
        <v>1010</v>
      </c>
      <c r="D79" s="72" t="s">
        <v>26</v>
      </c>
      <c r="E79" s="63" t="s">
        <v>68</v>
      </c>
      <c r="F79" s="60" t="s">
        <v>78</v>
      </c>
      <c r="G79" s="341">
        <f t="shared" si="4"/>
        <v>8739.609000000002</v>
      </c>
      <c r="H79" s="341">
        <f>8170.754+302.785-109.815+597.464+83.8-258.237+88.324-258.344+172.204-29.048+29.049-49.327</f>
        <v>8739.609000000002</v>
      </c>
      <c r="I79" s="341">
        <f>4701.232+1029.898+22.875+13.42+7.321+92.477+36.174</f>
        <v>5903.397</v>
      </c>
      <c r="J79" s="341">
        <f>427.812+85.81+345.678+344.667+25.212+39.16+22.01+205.32-18.2-20.7+317.591+109.815+170.058-219.813+3.5+1.753-154.73-11-5+29.049</f>
        <v>1697.992</v>
      </c>
      <c r="K79" s="86"/>
      <c r="L79" s="86">
        <f aca="true" t="shared" si="7" ref="L79:L112">N79+Q79</f>
        <v>7.092</v>
      </c>
      <c r="M79" s="86">
        <v>7.092</v>
      </c>
      <c r="N79" s="86"/>
      <c r="O79" s="86"/>
      <c r="P79" s="86"/>
      <c r="Q79" s="86">
        <v>7.092</v>
      </c>
      <c r="R79" s="85">
        <f t="shared" si="6"/>
        <v>8746.701000000003</v>
      </c>
      <c r="S79" s="44"/>
    </row>
    <row r="80" spans="1:19" s="15" customFormat="1" ht="39" customHeight="1">
      <c r="A80" s="83"/>
      <c r="B80" s="84" t="s">
        <v>410</v>
      </c>
      <c r="C80" s="114">
        <v>1021</v>
      </c>
      <c r="D80" s="111"/>
      <c r="E80" s="111" t="s">
        <v>69</v>
      </c>
      <c r="F80" s="136" t="s">
        <v>126</v>
      </c>
      <c r="G80" s="341">
        <f t="shared" si="4"/>
        <v>14659.424999999997</v>
      </c>
      <c r="H80" s="341">
        <f>13328.294-370+674.888+1806.356+73.3-935.851+151.989-242.424+216.647-231.968+170.867-82.653+99.98</f>
        <v>14659.424999999997</v>
      </c>
      <c r="I80" s="341">
        <f>5962.358+29.463+6.482+105.358+35.987+3.305</f>
        <v>6142.953</v>
      </c>
      <c r="J80" s="341">
        <f>3608.198+1199.899+126.429-116.331-115.828-139.842-2.3-25.282+0.353-173.698-8.28+89.585-82.653+99.98</f>
        <v>4460.229999999999</v>
      </c>
      <c r="K80" s="86"/>
      <c r="L80" s="86">
        <f t="shared" si="7"/>
        <v>24.957</v>
      </c>
      <c r="M80" s="86">
        <f>11.566+3.221+10.17</f>
        <v>24.957</v>
      </c>
      <c r="N80" s="86"/>
      <c r="O80" s="86"/>
      <c r="P80" s="86"/>
      <c r="Q80" s="86">
        <v>24.957</v>
      </c>
      <c r="R80" s="85">
        <f t="shared" si="6"/>
        <v>14684.381999999998</v>
      </c>
      <c r="S80" s="44"/>
    </row>
    <row r="81" spans="1:19" s="15" customFormat="1" ht="39" customHeight="1">
      <c r="A81" s="83"/>
      <c r="B81" s="84" t="s">
        <v>411</v>
      </c>
      <c r="C81" s="114">
        <v>1031</v>
      </c>
      <c r="D81" s="111"/>
      <c r="E81" s="111" t="s">
        <v>69</v>
      </c>
      <c r="F81" s="136" t="s">
        <v>126</v>
      </c>
      <c r="G81" s="341">
        <f t="shared" si="4"/>
        <v>16787.949</v>
      </c>
      <c r="H81" s="341">
        <f>18445.346-1657.397</f>
        <v>16787.949</v>
      </c>
      <c r="I81" s="341">
        <f>18445.346-1657.397</f>
        <v>16787.949</v>
      </c>
      <c r="J81" s="341"/>
      <c r="K81" s="86"/>
      <c r="L81" s="86">
        <f t="shared" si="7"/>
        <v>0</v>
      </c>
      <c r="M81" s="86"/>
      <c r="N81" s="86"/>
      <c r="O81" s="86"/>
      <c r="P81" s="86"/>
      <c r="Q81" s="86"/>
      <c r="R81" s="85">
        <f t="shared" si="6"/>
        <v>16787.949</v>
      </c>
      <c r="S81" s="44"/>
    </row>
    <row r="82" spans="1:19" s="15" customFormat="1" ht="39" customHeight="1" hidden="1">
      <c r="A82" s="83"/>
      <c r="B82" s="84"/>
      <c r="C82" s="224"/>
      <c r="D82" s="222"/>
      <c r="E82" s="111"/>
      <c r="F82" s="136"/>
      <c r="G82" s="341">
        <f t="shared" si="4"/>
        <v>0</v>
      </c>
      <c r="H82" s="341"/>
      <c r="I82" s="341"/>
      <c r="J82" s="341"/>
      <c r="K82" s="86"/>
      <c r="L82" s="86">
        <f t="shared" si="7"/>
        <v>0</v>
      </c>
      <c r="M82" s="86"/>
      <c r="N82" s="86"/>
      <c r="O82" s="86"/>
      <c r="P82" s="86"/>
      <c r="Q82" s="86"/>
      <c r="R82" s="85">
        <f t="shared" si="6"/>
        <v>0</v>
      </c>
      <c r="S82" s="44"/>
    </row>
    <row r="83" spans="1:19" s="15" customFormat="1" ht="39" customHeight="1">
      <c r="A83" s="83"/>
      <c r="B83" s="84" t="s">
        <v>460</v>
      </c>
      <c r="C83" s="224">
        <v>1041</v>
      </c>
      <c r="D83" s="222"/>
      <c r="E83" s="111" t="s">
        <v>69</v>
      </c>
      <c r="F83" s="136" t="s">
        <v>126</v>
      </c>
      <c r="G83" s="341">
        <f t="shared" si="4"/>
        <v>0</v>
      </c>
      <c r="H83" s="341"/>
      <c r="I83" s="341"/>
      <c r="J83" s="341"/>
      <c r="K83" s="86"/>
      <c r="L83" s="86">
        <f t="shared" si="7"/>
        <v>231.315</v>
      </c>
      <c r="M83" s="86">
        <v>231.315</v>
      </c>
      <c r="N83" s="86"/>
      <c r="O83" s="86"/>
      <c r="P83" s="86"/>
      <c r="Q83" s="86">
        <v>231.315</v>
      </c>
      <c r="R83" s="85">
        <f t="shared" si="6"/>
        <v>231.315</v>
      </c>
      <c r="S83" s="44"/>
    </row>
    <row r="84" spans="1:19" s="15" customFormat="1" ht="39" customHeight="1">
      <c r="A84" s="83"/>
      <c r="B84" s="84" t="s">
        <v>412</v>
      </c>
      <c r="C84" s="114">
        <v>1061</v>
      </c>
      <c r="D84" s="111"/>
      <c r="E84" s="111" t="s">
        <v>69</v>
      </c>
      <c r="F84" s="136" t="s">
        <v>126</v>
      </c>
      <c r="G84" s="341">
        <f t="shared" si="4"/>
        <v>2658.112</v>
      </c>
      <c r="H84" s="341">
        <f>774.41+1210.047+673.655</f>
        <v>2658.112</v>
      </c>
      <c r="I84" s="341">
        <f>107.176+673.655</f>
        <v>780.831</v>
      </c>
      <c r="J84" s="341"/>
      <c r="K84" s="86"/>
      <c r="L84" s="86">
        <f>M84</f>
        <v>1113.5</v>
      </c>
      <c r="M84" s="86">
        <f>284+829.5</f>
        <v>1113.5</v>
      </c>
      <c r="N84" s="86"/>
      <c r="O84" s="86"/>
      <c r="P84" s="86"/>
      <c r="Q84" s="86">
        <f>284+829.5</f>
        <v>1113.5</v>
      </c>
      <c r="R84" s="85">
        <f t="shared" si="6"/>
        <v>3771.612</v>
      </c>
      <c r="S84" s="44"/>
    </row>
    <row r="85" spans="1:19" s="15" customFormat="1" ht="39" customHeight="1">
      <c r="A85" s="83"/>
      <c r="B85" s="84" t="s">
        <v>413</v>
      </c>
      <c r="C85" s="114">
        <v>1070</v>
      </c>
      <c r="D85" s="111" t="s">
        <v>27</v>
      </c>
      <c r="E85" s="111" t="s">
        <v>70</v>
      </c>
      <c r="F85" s="136" t="s">
        <v>122</v>
      </c>
      <c r="G85" s="341">
        <f t="shared" si="4"/>
        <v>964.0040000000001</v>
      </c>
      <c r="H85" s="341">
        <f>884.801-77.395+30+72.912+49.9+1.686+2.1</f>
        <v>964.0040000000001</v>
      </c>
      <c r="I85" s="341">
        <f>621.163+148.376-63.438-13.957</f>
        <v>692.144</v>
      </c>
      <c r="J85" s="341">
        <f>70.664+0.813+28.178+3.834+30+64.412</f>
        <v>197.901</v>
      </c>
      <c r="K85" s="86"/>
      <c r="L85" s="86">
        <f t="shared" si="7"/>
        <v>0</v>
      </c>
      <c r="M85" s="86"/>
      <c r="N85" s="86"/>
      <c r="O85" s="86"/>
      <c r="P85" s="86"/>
      <c r="Q85" s="86"/>
      <c r="R85" s="85">
        <f t="shared" si="6"/>
        <v>964.0040000000001</v>
      </c>
      <c r="S85" s="44"/>
    </row>
    <row r="86" spans="1:19" s="15" customFormat="1" ht="39" customHeight="1">
      <c r="A86" s="83"/>
      <c r="B86" s="84" t="s">
        <v>414</v>
      </c>
      <c r="C86" s="156">
        <v>1080</v>
      </c>
      <c r="D86" s="157"/>
      <c r="E86" s="119" t="s">
        <v>70</v>
      </c>
      <c r="F86" s="158" t="s">
        <v>121</v>
      </c>
      <c r="G86" s="341">
        <f t="shared" si="4"/>
        <v>2173.373</v>
      </c>
      <c r="H86" s="341">
        <f>2092.003+72.865-97+97+8.505</f>
        <v>2173.373</v>
      </c>
      <c r="I86" s="341">
        <f>1245.098+269.469+17.514</f>
        <v>1532.081</v>
      </c>
      <c r="J86" s="341">
        <f>27.528+4.768+80.83+382.297+0.932-97-3</f>
        <v>396.355</v>
      </c>
      <c r="K86" s="86"/>
      <c r="L86" s="86">
        <f t="shared" si="7"/>
        <v>0</v>
      </c>
      <c r="M86" s="86"/>
      <c r="N86" s="86"/>
      <c r="O86" s="86"/>
      <c r="P86" s="86"/>
      <c r="Q86" s="86"/>
      <c r="R86" s="85">
        <f t="shared" si="6"/>
        <v>2173.373</v>
      </c>
      <c r="S86" s="44"/>
    </row>
    <row r="87" spans="1:19" s="15" customFormat="1" ht="39" customHeight="1">
      <c r="A87" s="83"/>
      <c r="B87" s="84" t="s">
        <v>415</v>
      </c>
      <c r="C87" s="114">
        <v>1141</v>
      </c>
      <c r="D87" s="111" t="s">
        <v>29</v>
      </c>
      <c r="E87" s="111" t="s">
        <v>71</v>
      </c>
      <c r="F87" s="136" t="s">
        <v>92</v>
      </c>
      <c r="G87" s="341">
        <f t="shared" si="4"/>
        <v>844.7270000000001</v>
      </c>
      <c r="H87" s="341">
        <f>977.696-59.48-4.967+0.1-68.622</f>
        <v>844.7270000000001</v>
      </c>
      <c r="I87" s="341">
        <f>364.653+74.219</f>
        <v>438.872</v>
      </c>
      <c r="J87" s="341">
        <f>1.794+35.259+121.638+0.633</f>
        <v>159.324</v>
      </c>
      <c r="K87" s="86"/>
      <c r="L87" s="86">
        <f t="shared" si="7"/>
        <v>0</v>
      </c>
      <c r="M87" s="86"/>
      <c r="N87" s="86"/>
      <c r="O87" s="86"/>
      <c r="P87" s="86"/>
      <c r="Q87" s="86"/>
      <c r="R87" s="85">
        <f t="shared" si="6"/>
        <v>844.7270000000001</v>
      </c>
      <c r="S87" s="44"/>
    </row>
    <row r="88" spans="1:19" s="15" customFormat="1" ht="39" customHeight="1">
      <c r="A88" s="83"/>
      <c r="B88" s="84" t="s">
        <v>416</v>
      </c>
      <c r="C88" s="114">
        <v>1142</v>
      </c>
      <c r="D88" s="111"/>
      <c r="E88" s="111" t="s">
        <v>71</v>
      </c>
      <c r="F88" s="136" t="s">
        <v>111</v>
      </c>
      <c r="G88" s="341">
        <f t="shared" si="4"/>
        <v>7.24</v>
      </c>
      <c r="H88" s="341">
        <v>7.24</v>
      </c>
      <c r="I88" s="341"/>
      <c r="J88" s="341"/>
      <c r="K88" s="86"/>
      <c r="L88" s="86">
        <f t="shared" si="7"/>
        <v>0</v>
      </c>
      <c r="M88" s="86"/>
      <c r="N88" s="86"/>
      <c r="O88" s="86"/>
      <c r="P88" s="86"/>
      <c r="Q88" s="86"/>
      <c r="R88" s="85">
        <f t="shared" si="6"/>
        <v>7.24</v>
      </c>
      <c r="S88" s="44"/>
    </row>
    <row r="89" spans="1:19" s="15" customFormat="1" ht="39" customHeight="1">
      <c r="A89" s="83"/>
      <c r="B89" s="84" t="s">
        <v>417</v>
      </c>
      <c r="C89" s="114">
        <v>1151</v>
      </c>
      <c r="D89" s="111"/>
      <c r="E89" s="111" t="s">
        <v>71</v>
      </c>
      <c r="F89" s="136" t="s">
        <v>124</v>
      </c>
      <c r="G89" s="341">
        <f t="shared" si="4"/>
        <v>228.879</v>
      </c>
      <c r="H89" s="341">
        <f>191.679+32.085+5.113-22.812+22.814-0.46+0.46</f>
        <v>228.879</v>
      </c>
      <c r="I89" s="341">
        <f>102.427+22.639+22.875+6.71+0.46-0.46</f>
        <v>154.651</v>
      </c>
      <c r="J89" s="341">
        <f>0.241+9.787+36.895+0.947+0.106+16.708-15.232-0.661</f>
        <v>48.791</v>
      </c>
      <c r="K89" s="86"/>
      <c r="L89" s="86">
        <f t="shared" si="7"/>
        <v>0</v>
      </c>
      <c r="M89" s="86"/>
      <c r="N89" s="86"/>
      <c r="O89" s="86"/>
      <c r="P89" s="86"/>
      <c r="Q89" s="86"/>
      <c r="R89" s="85">
        <f t="shared" si="6"/>
        <v>228.879</v>
      </c>
      <c r="S89" s="44"/>
    </row>
    <row r="90" spans="1:19" s="15" customFormat="1" ht="39" customHeight="1">
      <c r="A90" s="83"/>
      <c r="B90" s="84" t="s">
        <v>418</v>
      </c>
      <c r="C90" s="114">
        <v>1152</v>
      </c>
      <c r="D90" s="111"/>
      <c r="E90" s="111" t="s">
        <v>71</v>
      </c>
      <c r="F90" s="136" t="s">
        <v>125</v>
      </c>
      <c r="G90" s="341">
        <f t="shared" si="4"/>
        <v>898.351</v>
      </c>
      <c r="H90" s="341">
        <f>801.077+31.577+11.609+27.631+26.457</f>
        <v>898.351</v>
      </c>
      <c r="I90" s="341">
        <f>801.077+31.577+11.609+27.631+26.457</f>
        <v>898.351</v>
      </c>
      <c r="J90" s="341"/>
      <c r="K90" s="86"/>
      <c r="L90" s="86">
        <f t="shared" si="7"/>
        <v>0</v>
      </c>
      <c r="M90" s="86"/>
      <c r="N90" s="86"/>
      <c r="O90" s="86"/>
      <c r="P90" s="86"/>
      <c r="Q90" s="86"/>
      <c r="R90" s="85">
        <f t="shared" si="6"/>
        <v>898.351</v>
      </c>
      <c r="S90" s="44"/>
    </row>
    <row r="91" spans="1:19" s="15" customFormat="1" ht="44.25" customHeight="1">
      <c r="A91" s="83"/>
      <c r="B91" s="84" t="s">
        <v>419</v>
      </c>
      <c r="C91" s="114">
        <v>1160</v>
      </c>
      <c r="D91" s="111" t="s">
        <v>28</v>
      </c>
      <c r="E91" s="111" t="s">
        <v>71</v>
      </c>
      <c r="F91" s="136" t="s">
        <v>183</v>
      </c>
      <c r="G91" s="341">
        <f t="shared" si="4"/>
        <v>377.44300000000004</v>
      </c>
      <c r="H91" s="341">
        <f>313.944-0.001+61+1.5+1</f>
        <v>377.44300000000004</v>
      </c>
      <c r="I91" s="341">
        <f>142.481+44.442-0.001+50+11</f>
        <v>247.922</v>
      </c>
      <c r="J91" s="341">
        <v>54.651</v>
      </c>
      <c r="K91" s="86"/>
      <c r="L91" s="86">
        <f t="shared" si="7"/>
        <v>0</v>
      </c>
      <c r="M91" s="86"/>
      <c r="N91" s="86"/>
      <c r="O91" s="86"/>
      <c r="P91" s="86"/>
      <c r="Q91" s="86"/>
      <c r="R91" s="85">
        <f t="shared" si="6"/>
        <v>377.44300000000004</v>
      </c>
      <c r="S91" s="44"/>
    </row>
    <row r="92" spans="1:19" s="15" customFormat="1" ht="50.25" customHeight="1" hidden="1">
      <c r="A92" s="83"/>
      <c r="B92" s="84"/>
      <c r="C92" s="114"/>
      <c r="D92" s="111"/>
      <c r="E92" s="111"/>
      <c r="F92" s="159"/>
      <c r="G92" s="341"/>
      <c r="H92" s="341"/>
      <c r="I92" s="341"/>
      <c r="J92" s="341"/>
      <c r="K92" s="86"/>
      <c r="L92" s="86">
        <f t="shared" si="7"/>
        <v>0</v>
      </c>
      <c r="M92" s="86"/>
      <c r="N92" s="86"/>
      <c r="O92" s="86"/>
      <c r="P92" s="86"/>
      <c r="Q92" s="86"/>
      <c r="R92" s="85"/>
      <c r="S92" s="44"/>
    </row>
    <row r="93" spans="1:19" s="15" customFormat="1" ht="39" customHeight="1" hidden="1">
      <c r="A93" s="83"/>
      <c r="B93" s="84"/>
      <c r="C93" s="114"/>
      <c r="D93" s="111"/>
      <c r="E93" s="216"/>
      <c r="F93" s="217"/>
      <c r="G93" s="341"/>
      <c r="H93" s="341"/>
      <c r="I93" s="341"/>
      <c r="J93" s="341"/>
      <c r="K93" s="86"/>
      <c r="L93" s="86">
        <f t="shared" si="7"/>
        <v>0</v>
      </c>
      <c r="M93" s="86"/>
      <c r="N93" s="86"/>
      <c r="O93" s="86"/>
      <c r="P93" s="86"/>
      <c r="Q93" s="86"/>
      <c r="R93" s="85"/>
      <c r="S93" s="44"/>
    </row>
    <row r="94" spans="1:19" s="15" customFormat="1" ht="39" customHeight="1" hidden="1">
      <c r="A94" s="83"/>
      <c r="B94" s="84"/>
      <c r="C94" s="51"/>
      <c r="D94" s="72"/>
      <c r="E94" s="75"/>
      <c r="F94" s="61"/>
      <c r="G94" s="341"/>
      <c r="H94" s="341"/>
      <c r="I94" s="341"/>
      <c r="J94" s="341"/>
      <c r="K94" s="86"/>
      <c r="L94" s="86">
        <f t="shared" si="7"/>
        <v>0</v>
      </c>
      <c r="M94" s="86"/>
      <c r="N94" s="86"/>
      <c r="O94" s="86"/>
      <c r="P94" s="86"/>
      <c r="Q94" s="86"/>
      <c r="R94" s="85"/>
      <c r="S94" s="44"/>
    </row>
    <row r="95" spans="1:19" s="15" customFormat="1" ht="39" customHeight="1" hidden="1">
      <c r="A95" s="83"/>
      <c r="B95" s="340"/>
      <c r="C95" s="114"/>
      <c r="D95" s="111"/>
      <c r="E95" s="111"/>
      <c r="F95" s="136"/>
      <c r="G95" s="341"/>
      <c r="H95" s="341"/>
      <c r="I95" s="341"/>
      <c r="J95" s="341"/>
      <c r="K95" s="86"/>
      <c r="L95" s="86">
        <f t="shared" si="7"/>
        <v>0</v>
      </c>
      <c r="M95" s="86"/>
      <c r="N95" s="86"/>
      <c r="O95" s="86"/>
      <c r="P95" s="86"/>
      <c r="Q95" s="86"/>
      <c r="R95" s="85"/>
      <c r="S95" s="44"/>
    </row>
    <row r="96" spans="1:19" s="15" customFormat="1" ht="68.25" customHeight="1">
      <c r="A96" s="83"/>
      <c r="B96" s="340" t="s">
        <v>421</v>
      </c>
      <c r="C96" s="114">
        <v>1181</v>
      </c>
      <c r="D96" s="111"/>
      <c r="E96" s="111" t="s">
        <v>71</v>
      </c>
      <c r="F96" s="136" t="s">
        <v>382</v>
      </c>
      <c r="G96" s="341">
        <f t="shared" si="4"/>
        <v>0</v>
      </c>
      <c r="H96" s="341"/>
      <c r="I96" s="341"/>
      <c r="J96" s="341"/>
      <c r="K96" s="86"/>
      <c r="L96" s="86">
        <f t="shared" si="7"/>
        <v>41.332</v>
      </c>
      <c r="M96" s="86">
        <v>41.332</v>
      </c>
      <c r="N96" s="86"/>
      <c r="O96" s="86"/>
      <c r="P96" s="86"/>
      <c r="Q96" s="86">
        <v>41.332</v>
      </c>
      <c r="R96" s="85">
        <f t="shared" si="6"/>
        <v>41.332</v>
      </c>
      <c r="S96" s="44"/>
    </row>
    <row r="97" spans="1:19" s="15" customFormat="1" ht="65.25" customHeight="1">
      <c r="A97" s="83"/>
      <c r="B97" s="340" t="s">
        <v>422</v>
      </c>
      <c r="C97" s="114">
        <v>1182</v>
      </c>
      <c r="D97" s="111"/>
      <c r="E97" s="111" t="s">
        <v>71</v>
      </c>
      <c r="F97" s="136" t="s">
        <v>383</v>
      </c>
      <c r="G97" s="341">
        <f t="shared" si="4"/>
        <v>66.332</v>
      </c>
      <c r="H97" s="341">
        <f>145.059-78.727</f>
        <v>66.332</v>
      </c>
      <c r="I97" s="341"/>
      <c r="J97" s="341"/>
      <c r="K97" s="86"/>
      <c r="L97" s="86">
        <f t="shared" si="7"/>
        <v>785.306</v>
      </c>
      <c r="M97" s="86">
        <v>785.306</v>
      </c>
      <c r="N97" s="86"/>
      <c r="O97" s="86"/>
      <c r="P97" s="86"/>
      <c r="Q97" s="86">
        <v>785.306</v>
      </c>
      <c r="R97" s="85">
        <f t="shared" si="6"/>
        <v>851.638</v>
      </c>
      <c r="S97" s="44"/>
    </row>
    <row r="98" spans="1:19" s="15" customFormat="1" ht="48.75" customHeight="1">
      <c r="A98" s="83"/>
      <c r="B98" s="84" t="s">
        <v>420</v>
      </c>
      <c r="C98" s="51">
        <v>1200</v>
      </c>
      <c r="D98" s="72"/>
      <c r="E98" s="225" t="s">
        <v>71</v>
      </c>
      <c r="F98" s="226" t="s">
        <v>127</v>
      </c>
      <c r="G98" s="341">
        <f>H98</f>
        <v>128.913</v>
      </c>
      <c r="H98" s="341">
        <v>128.913</v>
      </c>
      <c r="I98" s="341">
        <v>128.913</v>
      </c>
      <c r="J98" s="341"/>
      <c r="K98" s="86"/>
      <c r="L98" s="86">
        <f t="shared" si="7"/>
        <v>170.615</v>
      </c>
      <c r="M98" s="86">
        <f>188.345-17.73</f>
        <v>170.615</v>
      </c>
      <c r="N98" s="86"/>
      <c r="O98" s="86"/>
      <c r="P98" s="86"/>
      <c r="Q98" s="86">
        <v>170.615</v>
      </c>
      <c r="R98" s="85">
        <f t="shared" si="6"/>
        <v>299.528</v>
      </c>
      <c r="S98" s="44"/>
    </row>
    <row r="99" spans="1:19" s="15" customFormat="1" ht="67.5" customHeight="1">
      <c r="A99" s="83"/>
      <c r="B99" s="84" t="s">
        <v>423</v>
      </c>
      <c r="C99" s="51">
        <v>1210</v>
      </c>
      <c r="D99" s="72"/>
      <c r="E99" s="225" t="s">
        <v>71</v>
      </c>
      <c r="F99" s="344" t="s">
        <v>302</v>
      </c>
      <c r="G99" s="341">
        <f t="shared" si="4"/>
        <v>99.171</v>
      </c>
      <c r="H99" s="341">
        <v>99.171</v>
      </c>
      <c r="I99" s="341">
        <v>99.171</v>
      </c>
      <c r="J99" s="341"/>
      <c r="K99" s="86"/>
      <c r="L99" s="86">
        <f t="shared" si="7"/>
        <v>0</v>
      </c>
      <c r="M99" s="86"/>
      <c r="N99" s="86"/>
      <c r="O99" s="86"/>
      <c r="P99" s="86"/>
      <c r="Q99" s="86"/>
      <c r="R99" s="85">
        <f t="shared" si="6"/>
        <v>99.171</v>
      </c>
      <c r="S99" s="44"/>
    </row>
    <row r="100" spans="1:19" s="15" customFormat="1" ht="37.5" customHeight="1">
      <c r="A100" s="83"/>
      <c r="B100" s="340" t="s">
        <v>424</v>
      </c>
      <c r="C100" s="51">
        <v>3133</v>
      </c>
      <c r="D100" s="72"/>
      <c r="E100" s="63" t="s">
        <v>64</v>
      </c>
      <c r="F100" s="59" t="s">
        <v>332</v>
      </c>
      <c r="G100" s="341">
        <f t="shared" si="4"/>
        <v>20</v>
      </c>
      <c r="H100" s="341">
        <v>20</v>
      </c>
      <c r="I100" s="341"/>
      <c r="J100" s="341"/>
      <c r="K100" s="86"/>
      <c r="L100" s="86">
        <f t="shared" si="7"/>
        <v>0</v>
      </c>
      <c r="M100" s="86"/>
      <c r="N100" s="86"/>
      <c r="O100" s="86"/>
      <c r="P100" s="86"/>
      <c r="Q100" s="86"/>
      <c r="R100" s="85">
        <f t="shared" si="6"/>
        <v>20</v>
      </c>
      <c r="S100" s="44"/>
    </row>
    <row r="101" spans="1:19" s="15" customFormat="1" ht="34.5" customHeight="1">
      <c r="A101" s="83"/>
      <c r="B101" s="340" t="s">
        <v>425</v>
      </c>
      <c r="C101" s="51">
        <v>4030</v>
      </c>
      <c r="D101" s="78">
        <v>110201</v>
      </c>
      <c r="E101" s="73" t="s">
        <v>76</v>
      </c>
      <c r="F101" s="59" t="s">
        <v>79</v>
      </c>
      <c r="G101" s="341">
        <f t="shared" si="4"/>
        <v>1778.562</v>
      </c>
      <c r="H101" s="341">
        <f>1738.405+38-2.492+23.649-35+16</f>
        <v>1778.562</v>
      </c>
      <c r="I101" s="341">
        <f>1285.283+274.943</f>
        <v>1560.2259999999999</v>
      </c>
      <c r="J101" s="341">
        <f>6.593+1.708+43.866+49.091+22.23+30-2.492+5.557+15.6-3-28-4-5</f>
        <v>132.153</v>
      </c>
      <c r="K101" s="86"/>
      <c r="L101" s="86">
        <f t="shared" si="7"/>
        <v>32.223</v>
      </c>
      <c r="M101" s="86">
        <f>2.223+20+10</f>
        <v>32.223</v>
      </c>
      <c r="N101" s="86"/>
      <c r="O101" s="86"/>
      <c r="P101" s="86"/>
      <c r="Q101" s="86">
        <f>2.223+20+10</f>
        <v>32.223</v>
      </c>
      <c r="R101" s="85">
        <f t="shared" si="6"/>
        <v>1810.7849999999999</v>
      </c>
      <c r="S101" s="44"/>
    </row>
    <row r="102" spans="1:19" s="15" customFormat="1" ht="39" customHeight="1">
      <c r="A102" s="83"/>
      <c r="B102" s="340" t="s">
        <v>426</v>
      </c>
      <c r="C102" s="51">
        <v>4040</v>
      </c>
      <c r="D102" s="74">
        <v>110202</v>
      </c>
      <c r="E102" s="76" t="s">
        <v>76</v>
      </c>
      <c r="F102" s="59" t="s">
        <v>80</v>
      </c>
      <c r="G102" s="341">
        <f t="shared" si="4"/>
        <v>616.963</v>
      </c>
      <c r="H102" s="341">
        <v>616.963</v>
      </c>
      <c r="I102" s="341">
        <f>329.178+71.87</f>
        <v>401.048</v>
      </c>
      <c r="J102" s="341">
        <f>1.701+105.576</f>
        <v>107.27699999999999</v>
      </c>
      <c r="K102" s="86"/>
      <c r="L102" s="86">
        <f t="shared" si="7"/>
        <v>0</v>
      </c>
      <c r="M102" s="86"/>
      <c r="N102" s="86"/>
      <c r="O102" s="86"/>
      <c r="P102" s="86"/>
      <c r="Q102" s="86"/>
      <c r="R102" s="85">
        <f t="shared" si="6"/>
        <v>616.963</v>
      </c>
      <c r="S102" s="44"/>
    </row>
    <row r="103" spans="1:19" s="15" customFormat="1" ht="48.75" customHeight="1">
      <c r="A103" s="83"/>
      <c r="B103" s="340" t="s">
        <v>427</v>
      </c>
      <c r="C103" s="51">
        <v>4060</v>
      </c>
      <c r="D103" s="79">
        <v>110204</v>
      </c>
      <c r="E103" s="80" t="s">
        <v>75</v>
      </c>
      <c r="F103" s="59" t="s">
        <v>81</v>
      </c>
      <c r="G103" s="341">
        <f t="shared" si="4"/>
        <v>3501.6249999999995</v>
      </c>
      <c r="H103" s="341">
        <f>2538.954+82+216.145+372.008+26+83.747+31.5-67.9+219.171</f>
        <v>3501.6249999999995</v>
      </c>
      <c r="I103" s="341">
        <f>1368.737+357.5+123.304+27.967</f>
        <v>1877.5080000000003</v>
      </c>
      <c r="J103" s="341">
        <f>17.541+76.831+319.332+62.792+200+5.345+230.668+83.747-13.829-8.4</f>
        <v>974.027</v>
      </c>
      <c r="K103" s="86"/>
      <c r="L103" s="86">
        <f t="shared" si="7"/>
        <v>51.5</v>
      </c>
      <c r="M103" s="86">
        <v>51.5</v>
      </c>
      <c r="N103" s="86"/>
      <c r="O103" s="86"/>
      <c r="P103" s="86"/>
      <c r="Q103" s="86">
        <v>51.5</v>
      </c>
      <c r="R103" s="85">
        <f t="shared" si="6"/>
        <v>3553.1249999999995</v>
      </c>
      <c r="S103" s="44"/>
    </row>
    <row r="104" spans="1:19" s="15" customFormat="1" ht="44.25" customHeight="1" hidden="1">
      <c r="A104" s="83"/>
      <c r="B104" s="340"/>
      <c r="C104" s="81"/>
      <c r="D104" s="78"/>
      <c r="E104" s="82"/>
      <c r="F104" s="71"/>
      <c r="G104" s="341">
        <f t="shared" si="4"/>
        <v>0</v>
      </c>
      <c r="H104" s="341"/>
      <c r="I104" s="341"/>
      <c r="J104" s="341"/>
      <c r="K104" s="86"/>
      <c r="L104" s="86">
        <f t="shared" si="7"/>
        <v>0</v>
      </c>
      <c r="M104" s="86"/>
      <c r="N104" s="86"/>
      <c r="O104" s="86"/>
      <c r="P104" s="86"/>
      <c r="Q104" s="86"/>
      <c r="R104" s="85">
        <f t="shared" si="6"/>
        <v>0</v>
      </c>
      <c r="S104" s="44"/>
    </row>
    <row r="105" spans="1:19" s="15" customFormat="1" ht="41.25" customHeight="1">
      <c r="A105" s="83"/>
      <c r="B105" s="340" t="s">
        <v>428</v>
      </c>
      <c r="C105" s="81">
        <v>5011</v>
      </c>
      <c r="D105" s="78"/>
      <c r="E105" s="82" t="s">
        <v>65</v>
      </c>
      <c r="F105" s="71" t="s">
        <v>320</v>
      </c>
      <c r="G105" s="341">
        <f t="shared" si="4"/>
        <v>30</v>
      </c>
      <c r="H105" s="341">
        <v>30</v>
      </c>
      <c r="I105" s="341"/>
      <c r="J105" s="341"/>
      <c r="K105" s="86"/>
      <c r="L105" s="86">
        <f t="shared" si="7"/>
        <v>0</v>
      </c>
      <c r="M105" s="86"/>
      <c r="N105" s="86"/>
      <c r="O105" s="86"/>
      <c r="P105" s="86"/>
      <c r="Q105" s="86"/>
      <c r="R105" s="85">
        <f t="shared" si="6"/>
        <v>30</v>
      </c>
      <c r="S105" s="44"/>
    </row>
    <row r="106" spans="1:19" s="15" customFormat="1" ht="42.75" customHeight="1">
      <c r="A106" s="83"/>
      <c r="B106" s="340" t="s">
        <v>429</v>
      </c>
      <c r="C106" s="81">
        <v>5012</v>
      </c>
      <c r="D106" s="78"/>
      <c r="E106" s="63" t="s">
        <v>65</v>
      </c>
      <c r="F106" s="71" t="s">
        <v>303</v>
      </c>
      <c r="G106" s="341">
        <f t="shared" si="4"/>
        <v>15</v>
      </c>
      <c r="H106" s="341">
        <v>15</v>
      </c>
      <c r="I106" s="341"/>
      <c r="J106" s="341"/>
      <c r="K106" s="86"/>
      <c r="L106" s="86">
        <f t="shared" si="7"/>
        <v>0</v>
      </c>
      <c r="M106" s="86"/>
      <c r="N106" s="86"/>
      <c r="O106" s="86"/>
      <c r="P106" s="86"/>
      <c r="Q106" s="86"/>
      <c r="R106" s="85">
        <f t="shared" si="6"/>
        <v>15</v>
      </c>
      <c r="S106" s="44"/>
    </row>
    <row r="107" spans="1:19" s="15" customFormat="1" ht="51" customHeight="1">
      <c r="A107" s="83"/>
      <c r="B107" s="340" t="s">
        <v>430</v>
      </c>
      <c r="C107" s="51">
        <v>5031</v>
      </c>
      <c r="D107" s="52">
        <v>130107</v>
      </c>
      <c r="E107" s="63" t="s">
        <v>65</v>
      </c>
      <c r="F107" s="59" t="s">
        <v>21</v>
      </c>
      <c r="G107" s="341">
        <f t="shared" si="4"/>
        <v>1457.391</v>
      </c>
      <c r="H107" s="341">
        <f>1212.32+97.614+153.457-59.1+53.1</f>
        <v>1457.391</v>
      </c>
      <c r="I107" s="341">
        <f>776.776+171.168</f>
        <v>947.944</v>
      </c>
      <c r="J107" s="341">
        <f>3.423+8.414+55.75+1.533+17.614+60+73.429-34.1</f>
        <v>186.06300000000002</v>
      </c>
      <c r="K107" s="86"/>
      <c r="L107" s="86">
        <f t="shared" si="7"/>
        <v>25</v>
      </c>
      <c r="M107" s="86">
        <v>25</v>
      </c>
      <c r="N107" s="86"/>
      <c r="O107" s="86"/>
      <c r="P107" s="86"/>
      <c r="Q107" s="86">
        <v>25</v>
      </c>
      <c r="R107" s="85">
        <f t="shared" si="6"/>
        <v>1482.391</v>
      </c>
      <c r="S107" s="44"/>
    </row>
    <row r="108" spans="1:19" s="15" customFormat="1" ht="54" customHeight="1">
      <c r="A108" s="83"/>
      <c r="B108" s="340" t="s">
        <v>431</v>
      </c>
      <c r="C108" s="51">
        <v>5061</v>
      </c>
      <c r="D108" s="52"/>
      <c r="E108" s="63" t="s">
        <v>65</v>
      </c>
      <c r="F108" s="59" t="s">
        <v>304</v>
      </c>
      <c r="G108" s="341">
        <f t="shared" si="4"/>
        <v>6</v>
      </c>
      <c r="H108" s="341">
        <f>25-19</f>
        <v>6</v>
      </c>
      <c r="I108" s="341"/>
      <c r="J108" s="341"/>
      <c r="K108" s="86"/>
      <c r="L108" s="86">
        <f t="shared" si="7"/>
        <v>0</v>
      </c>
      <c r="M108" s="86"/>
      <c r="N108" s="86"/>
      <c r="O108" s="86"/>
      <c r="P108" s="86"/>
      <c r="Q108" s="86"/>
      <c r="R108" s="85">
        <f t="shared" si="6"/>
        <v>6</v>
      </c>
      <c r="S108" s="44"/>
    </row>
    <row r="109" spans="1:19" s="15" customFormat="1" ht="54" customHeight="1">
      <c r="A109" s="83"/>
      <c r="B109" s="340" t="s">
        <v>432</v>
      </c>
      <c r="C109" s="51">
        <v>5062</v>
      </c>
      <c r="D109" s="52"/>
      <c r="E109" s="63" t="s">
        <v>65</v>
      </c>
      <c r="F109" s="59" t="s">
        <v>166</v>
      </c>
      <c r="G109" s="341">
        <f t="shared" si="4"/>
        <v>1471.7459999999999</v>
      </c>
      <c r="H109" s="341">
        <f>922.99+327.345+160.056+14.061-51.717+99.011</f>
        <v>1471.7459999999999</v>
      </c>
      <c r="I109" s="341">
        <f>480.083+105.329+63.438+13.957+97.5+21.45+27.957+13.234</f>
        <v>822.9480000000001</v>
      </c>
      <c r="J109" s="341">
        <f>4.444+17.123+109.681+0.528+91+12.501+3.318</f>
        <v>238.595</v>
      </c>
      <c r="K109" s="86"/>
      <c r="L109" s="86">
        <f t="shared" si="7"/>
        <v>0</v>
      </c>
      <c r="M109" s="86"/>
      <c r="N109" s="86"/>
      <c r="O109" s="86"/>
      <c r="P109" s="86"/>
      <c r="Q109" s="86"/>
      <c r="R109" s="85">
        <f t="shared" si="6"/>
        <v>1471.7459999999999</v>
      </c>
      <c r="S109" s="44"/>
    </row>
    <row r="110" spans="1:19" s="15" customFormat="1" ht="36" customHeight="1">
      <c r="A110" s="83"/>
      <c r="B110" s="218" t="s">
        <v>438</v>
      </c>
      <c r="C110" s="114">
        <v>7321</v>
      </c>
      <c r="D110" s="390"/>
      <c r="E110" s="111" t="s">
        <v>238</v>
      </c>
      <c r="F110" s="136" t="s">
        <v>239</v>
      </c>
      <c r="G110" s="341">
        <f t="shared" si="4"/>
        <v>0</v>
      </c>
      <c r="H110" s="341"/>
      <c r="I110" s="341"/>
      <c r="J110" s="341"/>
      <c r="K110" s="86"/>
      <c r="L110" s="86">
        <f t="shared" si="7"/>
        <v>637.826</v>
      </c>
      <c r="M110" s="86">
        <f>538.081+49.755+49.99</f>
        <v>637.826</v>
      </c>
      <c r="N110" s="86"/>
      <c r="O110" s="86"/>
      <c r="P110" s="86"/>
      <c r="Q110" s="86">
        <v>637.826</v>
      </c>
      <c r="R110" s="85">
        <f t="shared" si="6"/>
        <v>637.826</v>
      </c>
      <c r="S110" s="44"/>
    </row>
    <row r="111" spans="1:19" s="15" customFormat="1" ht="54" customHeight="1">
      <c r="A111" s="83"/>
      <c r="B111" s="218" t="s">
        <v>439</v>
      </c>
      <c r="C111" s="114">
        <v>7361</v>
      </c>
      <c r="D111" s="390"/>
      <c r="E111" s="220" t="s">
        <v>223</v>
      </c>
      <c r="F111" s="136" t="s">
        <v>387</v>
      </c>
      <c r="G111" s="341">
        <f t="shared" si="4"/>
        <v>0</v>
      </c>
      <c r="H111" s="341"/>
      <c r="I111" s="341"/>
      <c r="J111" s="341"/>
      <c r="K111" s="86"/>
      <c r="L111" s="86">
        <f t="shared" si="7"/>
        <v>776.148</v>
      </c>
      <c r="M111" s="86">
        <f>744.148+32</f>
        <v>776.148</v>
      </c>
      <c r="N111" s="86"/>
      <c r="O111" s="86"/>
      <c r="P111" s="86"/>
      <c r="Q111" s="86">
        <f>744.148+32</f>
        <v>776.148</v>
      </c>
      <c r="R111" s="85">
        <f t="shared" si="6"/>
        <v>776.148</v>
      </c>
      <c r="S111" s="44"/>
    </row>
    <row r="112" spans="1:19" s="15" customFormat="1" ht="54" customHeight="1">
      <c r="A112" s="83"/>
      <c r="B112" s="218" t="s">
        <v>446</v>
      </c>
      <c r="C112" s="114">
        <v>7366</v>
      </c>
      <c r="D112" s="410"/>
      <c r="E112" s="220" t="s">
        <v>223</v>
      </c>
      <c r="F112" s="136" t="s">
        <v>447</v>
      </c>
      <c r="G112" s="341">
        <f t="shared" si="4"/>
        <v>0</v>
      </c>
      <c r="H112" s="341"/>
      <c r="I112" s="341"/>
      <c r="J112" s="341"/>
      <c r="K112" s="86"/>
      <c r="L112" s="86">
        <f t="shared" si="7"/>
        <v>2593.19</v>
      </c>
      <c r="M112" s="86">
        <f>2640-46.81</f>
        <v>2593.19</v>
      </c>
      <c r="N112" s="86"/>
      <c r="O112" s="86"/>
      <c r="P112" s="86"/>
      <c r="Q112" s="86">
        <f>2640-46.81</f>
        <v>2593.19</v>
      </c>
      <c r="R112" s="85">
        <f t="shared" si="6"/>
        <v>2593.19</v>
      </c>
      <c r="S112" s="44"/>
    </row>
    <row r="113" spans="1:19" s="15" customFormat="1" ht="32.25" customHeight="1">
      <c r="A113" s="83"/>
      <c r="B113" s="84"/>
      <c r="C113" s="65">
        <v>37</v>
      </c>
      <c r="D113" s="65"/>
      <c r="E113" s="57"/>
      <c r="F113" s="58" t="s">
        <v>220</v>
      </c>
      <c r="G113" s="134">
        <f>G115+G117+G116+G114+G118</f>
        <v>6122.883</v>
      </c>
      <c r="H113" s="134">
        <f>H115+H117+H116+H114+H118</f>
        <v>3822.8830000000003</v>
      </c>
      <c r="I113" s="134">
        <f>I115+I117+I116+I114</f>
        <v>1480.479</v>
      </c>
      <c r="J113" s="134">
        <f>J115+J117+J116+J114</f>
        <v>0.7120000000000033</v>
      </c>
      <c r="K113" s="85">
        <f>K115+K117</f>
        <v>0</v>
      </c>
      <c r="L113" s="134">
        <f aca="true" t="shared" si="8" ref="L113:Q113">L115+L117+L116+L118</f>
        <v>1156.022</v>
      </c>
      <c r="M113" s="134">
        <f t="shared" si="8"/>
        <v>1156.022</v>
      </c>
      <c r="N113" s="134">
        <f t="shared" si="8"/>
        <v>0</v>
      </c>
      <c r="O113" s="134">
        <f t="shared" si="8"/>
        <v>0</v>
      </c>
      <c r="P113" s="134">
        <f t="shared" si="8"/>
        <v>0</v>
      </c>
      <c r="Q113" s="134">
        <f t="shared" si="8"/>
        <v>1156.022</v>
      </c>
      <c r="R113" s="85">
        <f aca="true" t="shared" si="9" ref="R113:R119">L113+G113</f>
        <v>7278.905</v>
      </c>
      <c r="S113" s="48"/>
    </row>
    <row r="114" spans="1:19" s="15" customFormat="1" ht="32.25" customHeight="1">
      <c r="A114" s="83"/>
      <c r="B114" s="224" t="s">
        <v>218</v>
      </c>
      <c r="C114" s="224" t="s">
        <v>164</v>
      </c>
      <c r="D114" s="222" t="s">
        <v>62</v>
      </c>
      <c r="E114" s="75" t="s">
        <v>62</v>
      </c>
      <c r="F114" s="226" t="s">
        <v>230</v>
      </c>
      <c r="G114" s="150">
        <f>H114</f>
        <v>1643.8129999999999</v>
      </c>
      <c r="H114" s="150">
        <f>1587.437+20-58.455+58.455-6.263+42.639</f>
        <v>1643.8129999999999</v>
      </c>
      <c r="I114" s="150">
        <f>1335.545+93.983+1.015+16-2.44+30.24+6.136</f>
        <v>1480.479</v>
      </c>
      <c r="J114" s="150">
        <f>65.057-51.424-9.895-3.026</f>
        <v>0.7120000000000033</v>
      </c>
      <c r="K114" s="85"/>
      <c r="L114" s="85"/>
      <c r="M114" s="85"/>
      <c r="N114" s="85"/>
      <c r="O114" s="85"/>
      <c r="P114" s="85"/>
      <c r="Q114" s="85"/>
      <c r="R114" s="85">
        <f t="shared" si="9"/>
        <v>1643.8129999999999</v>
      </c>
      <c r="S114" s="48"/>
    </row>
    <row r="115" spans="1:19" s="15" customFormat="1" ht="19.5" customHeight="1" hidden="1">
      <c r="A115" s="83"/>
      <c r="B115" s="84"/>
      <c r="C115" s="63"/>
      <c r="D115" s="63"/>
      <c r="E115" s="75"/>
      <c r="F115" s="62"/>
      <c r="G115" s="135"/>
      <c r="H115" s="135"/>
      <c r="I115" s="135"/>
      <c r="J115" s="135"/>
      <c r="K115" s="86"/>
      <c r="L115" s="86"/>
      <c r="M115" s="86"/>
      <c r="N115" s="86"/>
      <c r="O115" s="86"/>
      <c r="P115" s="86"/>
      <c r="Q115" s="86"/>
      <c r="R115" s="85">
        <f t="shared" si="9"/>
        <v>0</v>
      </c>
      <c r="S115" s="44"/>
    </row>
    <row r="116" spans="1:19" s="15" customFormat="1" ht="22.5" customHeight="1">
      <c r="A116" s="83"/>
      <c r="B116" s="224" t="s">
        <v>221</v>
      </c>
      <c r="C116" s="224" t="s">
        <v>222</v>
      </c>
      <c r="D116" s="225" t="s">
        <v>223</v>
      </c>
      <c r="E116" s="220" t="s">
        <v>223</v>
      </c>
      <c r="F116" s="226" t="s">
        <v>224</v>
      </c>
      <c r="G116" s="154">
        <f>H116</f>
        <v>2145.665</v>
      </c>
      <c r="H116" s="135">
        <f>12500-359.4-601.378-6596.063-15-408.027-908.892-966.37-424.205-75</f>
        <v>2145.665</v>
      </c>
      <c r="I116" s="135"/>
      <c r="J116" s="135"/>
      <c r="K116" s="86"/>
      <c r="L116" s="86"/>
      <c r="M116" s="86"/>
      <c r="N116" s="86"/>
      <c r="O116" s="86"/>
      <c r="P116" s="86"/>
      <c r="Q116" s="86"/>
      <c r="R116" s="85">
        <f t="shared" si="9"/>
        <v>2145.665</v>
      </c>
      <c r="S116" s="44"/>
    </row>
    <row r="117" spans="1:19" s="122" customFormat="1" ht="21.75" customHeight="1">
      <c r="A117" s="131"/>
      <c r="B117" s="298" t="s">
        <v>225</v>
      </c>
      <c r="C117" s="298" t="s">
        <v>226</v>
      </c>
      <c r="D117" s="299" t="s">
        <v>66</v>
      </c>
      <c r="E117" s="220" t="s">
        <v>66</v>
      </c>
      <c r="F117" s="136" t="s">
        <v>262</v>
      </c>
      <c r="G117" s="154">
        <f>200+2100</f>
        <v>2300</v>
      </c>
      <c r="H117" s="154"/>
      <c r="I117" s="154"/>
      <c r="J117" s="154"/>
      <c r="K117" s="154"/>
      <c r="L117" s="154">
        <f>N117+Q117</f>
        <v>0</v>
      </c>
      <c r="M117" s="154"/>
      <c r="N117" s="154"/>
      <c r="O117" s="154"/>
      <c r="P117" s="154"/>
      <c r="Q117" s="154"/>
      <c r="R117" s="134">
        <f t="shared" si="9"/>
        <v>2300</v>
      </c>
      <c r="S117" s="121"/>
    </row>
    <row r="118" spans="1:19" s="15" customFormat="1" ht="23.25" customHeight="1">
      <c r="A118" s="83"/>
      <c r="B118" s="224" t="s">
        <v>227</v>
      </c>
      <c r="C118" s="224" t="s">
        <v>228</v>
      </c>
      <c r="D118" s="222" t="s">
        <v>67</v>
      </c>
      <c r="E118" s="220" t="s">
        <v>67</v>
      </c>
      <c r="F118" s="226" t="s">
        <v>229</v>
      </c>
      <c r="G118" s="341">
        <f>H118</f>
        <v>33.405</v>
      </c>
      <c r="H118" s="150">
        <v>33.405</v>
      </c>
      <c r="I118" s="135"/>
      <c r="J118" s="135"/>
      <c r="K118" s="86"/>
      <c r="L118" s="341">
        <f>N118+Q118</f>
        <v>1156.022</v>
      </c>
      <c r="M118" s="154">
        <f>899.651+99.961+234.884-44.406-34.068</f>
        <v>1156.022</v>
      </c>
      <c r="N118" s="86"/>
      <c r="O118" s="86"/>
      <c r="P118" s="86"/>
      <c r="Q118" s="154">
        <v>1156.022</v>
      </c>
      <c r="R118" s="85">
        <f t="shared" si="9"/>
        <v>1189.427</v>
      </c>
      <c r="S118" s="44"/>
    </row>
    <row r="119" spans="1:19" s="15" customFormat="1" ht="19.5" customHeight="1">
      <c r="A119" s="14"/>
      <c r="B119" s="171"/>
      <c r="C119" s="246" t="s">
        <v>77</v>
      </c>
      <c r="D119" s="246"/>
      <c r="E119" s="246"/>
      <c r="F119" s="133" t="s">
        <v>247</v>
      </c>
      <c r="G119" s="247">
        <f>SUM(G120:G124)</f>
        <v>9928.379</v>
      </c>
      <c r="H119" s="247">
        <f aca="true" t="shared" si="10" ref="H119:Q119">SUM(H120:H124)</f>
        <v>9928.379</v>
      </c>
      <c r="I119" s="247">
        <f t="shared" si="10"/>
        <v>7143.995</v>
      </c>
      <c r="J119" s="247">
        <f t="shared" si="10"/>
        <v>847.423</v>
      </c>
      <c r="K119" s="247">
        <f t="shared" si="10"/>
        <v>0</v>
      </c>
      <c r="L119" s="247">
        <f t="shared" si="10"/>
        <v>0</v>
      </c>
      <c r="M119" s="247">
        <f t="shared" si="10"/>
        <v>0</v>
      </c>
      <c r="N119" s="247">
        <f t="shared" si="10"/>
        <v>0</v>
      </c>
      <c r="O119" s="247">
        <f t="shared" si="10"/>
        <v>0</v>
      </c>
      <c r="P119" s="247">
        <f t="shared" si="10"/>
        <v>0</v>
      </c>
      <c r="Q119" s="247">
        <f t="shared" si="10"/>
        <v>0</v>
      </c>
      <c r="R119" s="134">
        <f t="shared" si="9"/>
        <v>9928.379</v>
      </c>
      <c r="S119" s="48"/>
    </row>
    <row r="120" spans="1:19" s="15" customFormat="1" ht="63.75" customHeight="1">
      <c r="A120" s="14"/>
      <c r="B120" s="155" t="s">
        <v>185</v>
      </c>
      <c r="C120" s="111" t="s">
        <v>184</v>
      </c>
      <c r="D120" s="111" t="s">
        <v>24</v>
      </c>
      <c r="E120" s="111" t="s">
        <v>62</v>
      </c>
      <c r="F120" s="136" t="s">
        <v>231</v>
      </c>
      <c r="G120" s="154">
        <f>H120</f>
        <v>7649.441</v>
      </c>
      <c r="H120" s="248">
        <f>4516.349+1422.883+1867.46-157.251</f>
        <v>7649.441</v>
      </c>
      <c r="I120" s="248">
        <f>4055.409+1372.833+1860.834-102.798-42.283</f>
        <v>7143.995</v>
      </c>
      <c r="J120" s="248">
        <f>421.243+50-12.17</f>
        <v>459.073</v>
      </c>
      <c r="K120" s="248"/>
      <c r="L120" s="248">
        <f>N120+Q120</f>
        <v>0</v>
      </c>
      <c r="M120" s="248"/>
      <c r="N120" s="248"/>
      <c r="O120" s="248"/>
      <c r="P120" s="248"/>
      <c r="Q120" s="248"/>
      <c r="R120" s="154">
        <f>L120+G120</f>
        <v>7649.441</v>
      </c>
      <c r="S120" s="48"/>
    </row>
    <row r="121" spans="1:19" s="15" customFormat="1" ht="27.75" customHeight="1" hidden="1">
      <c r="A121" s="14"/>
      <c r="B121" s="155"/>
      <c r="C121" s="111"/>
      <c r="D121" s="221"/>
      <c r="E121" s="216"/>
      <c r="F121" s="249"/>
      <c r="G121" s="154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154"/>
      <c r="S121" s="48"/>
    </row>
    <row r="122" spans="1:19" s="15" customFormat="1" ht="34.5" customHeight="1">
      <c r="A122" s="14"/>
      <c r="B122" s="155" t="s">
        <v>240</v>
      </c>
      <c r="C122" s="232" t="s">
        <v>241</v>
      </c>
      <c r="D122" s="233"/>
      <c r="E122" s="232" t="s">
        <v>169</v>
      </c>
      <c r="F122" s="234" t="s">
        <v>242</v>
      </c>
      <c r="G122" s="154">
        <f>H122</f>
        <v>264.337</v>
      </c>
      <c r="H122" s="248">
        <v>264.337</v>
      </c>
      <c r="I122" s="248"/>
      <c r="J122" s="248"/>
      <c r="K122" s="248"/>
      <c r="L122" s="248"/>
      <c r="M122" s="248"/>
      <c r="N122" s="248"/>
      <c r="O122" s="248"/>
      <c r="P122" s="248"/>
      <c r="Q122" s="248"/>
      <c r="R122" s="154">
        <f aca="true" t="shared" si="11" ref="R122:R127">L122+G122</f>
        <v>264.337</v>
      </c>
      <c r="S122" s="48"/>
    </row>
    <row r="123" spans="1:19" s="15" customFormat="1" ht="33.75" customHeight="1">
      <c r="A123" s="14"/>
      <c r="B123" s="218" t="s">
        <v>211</v>
      </c>
      <c r="C123" s="114">
        <v>6013</v>
      </c>
      <c r="D123" s="114"/>
      <c r="E123" s="111" t="s">
        <v>167</v>
      </c>
      <c r="F123" s="136" t="s">
        <v>212</v>
      </c>
      <c r="G123" s="154">
        <f>H123</f>
        <v>150</v>
      </c>
      <c r="H123" s="248">
        <v>150</v>
      </c>
      <c r="I123" s="248"/>
      <c r="J123" s="248"/>
      <c r="K123" s="248"/>
      <c r="L123" s="248"/>
      <c r="M123" s="248"/>
      <c r="N123" s="248"/>
      <c r="O123" s="248"/>
      <c r="P123" s="248"/>
      <c r="Q123" s="248"/>
      <c r="R123" s="154">
        <f t="shared" si="11"/>
        <v>150</v>
      </c>
      <c r="S123" s="48"/>
    </row>
    <row r="124" spans="1:19" s="15" customFormat="1" ht="27.75" customHeight="1">
      <c r="A124" s="14"/>
      <c r="B124" s="218" t="s">
        <v>213</v>
      </c>
      <c r="C124" s="114">
        <v>6030</v>
      </c>
      <c r="D124" s="337"/>
      <c r="E124" s="149" t="s">
        <v>167</v>
      </c>
      <c r="F124" s="136" t="s">
        <v>168</v>
      </c>
      <c r="G124" s="154">
        <f>H124</f>
        <v>1864.6009999999999</v>
      </c>
      <c r="H124" s="248">
        <f>2000.251-135.65</f>
        <v>1864.6009999999999</v>
      </c>
      <c r="I124" s="248"/>
      <c r="J124" s="248">
        <f>524-135.65</f>
        <v>388.35</v>
      </c>
      <c r="K124" s="248"/>
      <c r="L124" s="248"/>
      <c r="M124" s="248"/>
      <c r="N124" s="248"/>
      <c r="O124" s="248"/>
      <c r="P124" s="248"/>
      <c r="Q124" s="248"/>
      <c r="R124" s="154">
        <f t="shared" si="11"/>
        <v>1864.6009999999999</v>
      </c>
      <c r="S124" s="48"/>
    </row>
    <row r="125" spans="1:19" s="15" customFormat="1" ht="24" customHeight="1">
      <c r="A125" s="14"/>
      <c r="B125" s="155"/>
      <c r="C125" s="132">
        <v>37</v>
      </c>
      <c r="D125" s="132"/>
      <c r="E125" s="246"/>
      <c r="F125" s="133" t="s">
        <v>286</v>
      </c>
      <c r="G125" s="134">
        <f>H125</f>
        <v>466.106</v>
      </c>
      <c r="H125" s="247">
        <f aca="true" t="shared" si="12" ref="H125:Q125">SUM(H126:H126)</f>
        <v>466.106</v>
      </c>
      <c r="I125" s="247">
        <f t="shared" si="12"/>
        <v>466.106</v>
      </c>
      <c r="J125" s="247">
        <f t="shared" si="12"/>
        <v>0</v>
      </c>
      <c r="K125" s="247">
        <f t="shared" si="12"/>
        <v>0</v>
      </c>
      <c r="L125" s="247">
        <f>N125+Q125</f>
        <v>0</v>
      </c>
      <c r="M125" s="247">
        <f t="shared" si="12"/>
        <v>0</v>
      </c>
      <c r="N125" s="247">
        <f t="shared" si="12"/>
        <v>0</v>
      </c>
      <c r="O125" s="247">
        <f t="shared" si="12"/>
        <v>0</v>
      </c>
      <c r="P125" s="247">
        <f t="shared" si="12"/>
        <v>0</v>
      </c>
      <c r="Q125" s="247">
        <f t="shared" si="12"/>
        <v>0</v>
      </c>
      <c r="R125" s="134">
        <f t="shared" si="11"/>
        <v>466.106</v>
      </c>
      <c r="S125" s="48"/>
    </row>
    <row r="126" spans="1:19" s="15" customFormat="1" ht="47.25" customHeight="1">
      <c r="A126" s="14"/>
      <c r="B126" s="155" t="s">
        <v>218</v>
      </c>
      <c r="C126" s="111" t="s">
        <v>164</v>
      </c>
      <c r="D126" s="111" t="s">
        <v>25</v>
      </c>
      <c r="E126" s="216" t="s">
        <v>62</v>
      </c>
      <c r="F126" s="231" t="s">
        <v>217</v>
      </c>
      <c r="G126" s="154">
        <f>H126</f>
        <v>466.106</v>
      </c>
      <c r="H126" s="248">
        <f>199.025+122+145.081</f>
        <v>466.106</v>
      </c>
      <c r="I126" s="248">
        <f>199.025+122+102.798+42.283</f>
        <v>466.106</v>
      </c>
      <c r="J126" s="248"/>
      <c r="K126" s="248"/>
      <c r="L126" s="248">
        <f>N126+Q126</f>
        <v>0</v>
      </c>
      <c r="M126" s="247"/>
      <c r="N126" s="247"/>
      <c r="O126" s="247"/>
      <c r="P126" s="247"/>
      <c r="Q126" s="247"/>
      <c r="R126" s="134">
        <f t="shared" si="11"/>
        <v>466.106</v>
      </c>
      <c r="S126" s="48"/>
    </row>
    <row r="127" spans="1:19" s="15" customFormat="1" ht="43.5" customHeight="1">
      <c r="A127" s="14"/>
      <c r="B127" s="250" t="s">
        <v>232</v>
      </c>
      <c r="C127" s="246" t="s">
        <v>232</v>
      </c>
      <c r="D127" s="221"/>
      <c r="E127" s="251" t="s">
        <v>232</v>
      </c>
      <c r="F127" s="252" t="s">
        <v>123</v>
      </c>
      <c r="G127" s="284">
        <f aca="true" t="shared" si="13" ref="G127:Q127">G125+G119+G113+G12+G77</f>
        <v>236867.99800000005</v>
      </c>
      <c r="H127" s="284">
        <f t="shared" si="13"/>
        <v>234567.99800000005</v>
      </c>
      <c r="I127" s="284">
        <f t="shared" si="13"/>
        <v>165043.01100000006</v>
      </c>
      <c r="J127" s="284">
        <f t="shared" si="13"/>
        <v>32183.361000000004</v>
      </c>
      <c r="K127" s="284">
        <f t="shared" si="13"/>
        <v>0</v>
      </c>
      <c r="L127" s="284">
        <f t="shared" si="13"/>
        <v>21855.211</v>
      </c>
      <c r="M127" s="284">
        <f t="shared" si="13"/>
        <v>19488.91</v>
      </c>
      <c r="N127" s="284">
        <f t="shared" si="13"/>
        <v>2366.3010000000004</v>
      </c>
      <c r="O127" s="284">
        <f t="shared" si="13"/>
        <v>376.299</v>
      </c>
      <c r="P127" s="284">
        <f t="shared" si="13"/>
        <v>26.606</v>
      </c>
      <c r="Q127" s="284">
        <f t="shared" si="13"/>
        <v>19488.91</v>
      </c>
      <c r="R127" s="134">
        <f t="shared" si="11"/>
        <v>258723.20900000006</v>
      </c>
      <c r="S127" s="48"/>
    </row>
    <row r="128" spans="1:20" s="15" customFormat="1" ht="15.75">
      <c r="A128" s="14"/>
      <c r="B128" s="301"/>
      <c r="C128" s="302"/>
      <c r="D128" s="302"/>
      <c r="E128" s="302"/>
      <c r="F128" s="303"/>
      <c r="G128" s="304"/>
      <c r="H128" s="304"/>
      <c r="I128" s="304"/>
      <c r="J128" s="304"/>
      <c r="K128" s="304"/>
      <c r="L128" s="304"/>
      <c r="M128" s="304"/>
      <c r="N128" s="304"/>
      <c r="O128" s="304"/>
      <c r="P128" s="304"/>
      <c r="Q128" s="304"/>
      <c r="R128" s="305"/>
      <c r="S128" s="48"/>
      <c r="T128" s="123"/>
    </row>
    <row r="129" spans="1:19" s="15" customFormat="1" ht="15.75">
      <c r="A129" s="14"/>
      <c r="B129" s="301"/>
      <c r="C129" s="302"/>
      <c r="D129" s="302"/>
      <c r="E129" s="302"/>
      <c r="F129" s="303"/>
      <c r="G129" s="304"/>
      <c r="H129" s="304"/>
      <c r="I129" s="304"/>
      <c r="J129" s="304"/>
      <c r="K129" s="304"/>
      <c r="L129" s="304"/>
      <c r="M129" s="304"/>
      <c r="N129" s="304"/>
      <c r="O129" s="304"/>
      <c r="P129" s="473" t="s">
        <v>391</v>
      </c>
      <c r="Q129" s="473"/>
      <c r="R129" s="473"/>
      <c r="S129" s="48"/>
    </row>
    <row r="130" spans="1:20" s="15" customFormat="1" ht="15.75">
      <c r="A130" s="14"/>
      <c r="B130" s="467"/>
      <c r="C130" s="453"/>
      <c r="D130" s="444" t="s">
        <v>390</v>
      </c>
      <c r="E130" s="444"/>
      <c r="F130" s="444"/>
      <c r="G130" s="300"/>
      <c r="H130" s="300"/>
      <c r="I130" s="300"/>
      <c r="J130" s="300"/>
      <c r="K130" s="300"/>
      <c r="L130" s="300"/>
      <c r="M130" s="300"/>
      <c r="N130" s="300"/>
      <c r="O130" s="300"/>
      <c r="P130" s="473"/>
      <c r="Q130" s="473"/>
      <c r="R130" s="473"/>
      <c r="S130" s="300"/>
      <c r="T130" s="123"/>
    </row>
    <row r="131" spans="1:19" s="15" customFormat="1" ht="15.75">
      <c r="A131" s="14"/>
      <c r="B131" s="45"/>
      <c r="C131" s="472"/>
      <c r="D131" s="472"/>
      <c r="E131" s="472"/>
      <c r="F131" s="472"/>
      <c r="G131" s="472"/>
      <c r="H131" s="472"/>
      <c r="I131" s="472"/>
      <c r="J131" s="472"/>
      <c r="K131" s="472"/>
      <c r="L131" s="472"/>
      <c r="M131" s="472"/>
      <c r="N131" s="472"/>
      <c r="O131" s="472"/>
      <c r="P131" s="472"/>
      <c r="Q131" s="472"/>
      <c r="R131" s="472"/>
      <c r="S131" s="472"/>
    </row>
    <row r="132" spans="1:2" s="15" customFormat="1" ht="15" customHeight="1">
      <c r="A132" s="14"/>
      <c r="B132" s="45"/>
    </row>
    <row r="133" spans="1:19" s="15" customFormat="1" ht="27.75" customHeight="1">
      <c r="A133" s="14"/>
      <c r="B133" s="45"/>
      <c r="C133" s="471"/>
      <c r="D133" s="471"/>
      <c r="E133" s="471"/>
      <c r="F133" s="471"/>
      <c r="G133" s="471"/>
      <c r="H133" s="471"/>
      <c r="I133" s="471"/>
      <c r="J133" s="471"/>
      <c r="K133" s="471"/>
      <c r="L133" s="471"/>
      <c r="M133" s="471"/>
      <c r="N133" s="471"/>
      <c r="O133" s="471"/>
      <c r="P133" s="471"/>
      <c r="Q133" s="471"/>
      <c r="R133" s="471"/>
      <c r="S133" s="44"/>
    </row>
    <row r="134" spans="2:19" ht="15.75">
      <c r="B134" s="46"/>
      <c r="C134" s="54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29"/>
    </row>
    <row r="135" ht="12.75">
      <c r="I135" s="64"/>
    </row>
    <row r="138" spans="9:14" ht="12.75">
      <c r="I138" s="118"/>
      <c r="N138" s="64"/>
    </row>
  </sheetData>
  <sheetProtection/>
  <mergeCells count="28">
    <mergeCell ref="C133:R133"/>
    <mergeCell ref="I9:I10"/>
    <mergeCell ref="J9:J10"/>
    <mergeCell ref="C7:C10"/>
    <mergeCell ref="L8:L10"/>
    <mergeCell ref="P9:P10"/>
    <mergeCell ref="C131:S131"/>
    <mergeCell ref="E7:E10"/>
    <mergeCell ref="I8:J8"/>
    <mergeCell ref="P129:R130"/>
    <mergeCell ref="Q8:Q10"/>
    <mergeCell ref="M8:M10"/>
    <mergeCell ref="H8:H10"/>
    <mergeCell ref="O9:O10"/>
    <mergeCell ref="F7:F10"/>
    <mergeCell ref="G8:G10"/>
    <mergeCell ref="L7:Q7"/>
    <mergeCell ref="N8:N10"/>
    <mergeCell ref="D130:F130"/>
    <mergeCell ref="P1:R1"/>
    <mergeCell ref="O8:P8"/>
    <mergeCell ref="G7:K7"/>
    <mergeCell ref="K8:K10"/>
    <mergeCell ref="O5:R5"/>
    <mergeCell ref="R7:R10"/>
    <mergeCell ref="B3:R3"/>
    <mergeCell ref="B130:C130"/>
    <mergeCell ref="B7:B10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51" r:id="rId1"/>
  <headerFooter differentFirst="1" alignWithMargins="0">
    <oddHeader>&amp;C&amp;P&amp;Rпродовження Додатка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51"/>
  <sheetViews>
    <sheetView showGridLines="0" showZeros="0" zoomScale="70" zoomScaleNormal="70" zoomScaleSheetLayoutView="55" zoomScalePageLayoutView="0" workbookViewId="0" topLeftCell="D1">
      <selection activeCell="D1" sqref="D1"/>
    </sheetView>
  </sheetViews>
  <sheetFormatPr defaultColWidth="9.16015625" defaultRowHeight="12.75"/>
  <cols>
    <col min="1" max="1" width="0.328125" style="176" hidden="1" customWidth="1"/>
    <col min="2" max="2" width="4.33203125" style="176" hidden="1" customWidth="1"/>
    <col min="3" max="3" width="1.171875" style="176" hidden="1" customWidth="1"/>
    <col min="4" max="4" width="20.5" style="176" customWidth="1"/>
    <col min="5" max="5" width="56" style="176" customWidth="1"/>
    <col min="6" max="8" width="33.83203125" style="176" customWidth="1"/>
    <col min="9" max="10" width="29.16015625" style="176" customWidth="1"/>
    <col min="11" max="11" width="32.5" style="176" customWidth="1"/>
    <col min="12" max="12" width="33.16015625" style="176" customWidth="1"/>
    <col min="13" max="13" width="36.66015625" style="176" customWidth="1"/>
    <col min="14" max="14" width="35.33203125" style="176" customWidth="1"/>
    <col min="15" max="15" width="34.66015625" style="209" customWidth="1"/>
    <col min="16" max="16" width="29.66015625" style="209" customWidth="1"/>
    <col min="17" max="17" width="35.33203125" style="209" customWidth="1"/>
    <col min="18" max="18" width="35.33203125" style="176" customWidth="1"/>
    <col min="19" max="19" width="33" style="176" customWidth="1"/>
    <col min="20" max="20" width="28" style="176" customWidth="1"/>
    <col min="21" max="21" width="57.16015625" style="176" customWidth="1"/>
    <col min="22" max="22" width="38.33203125" style="176" customWidth="1"/>
    <col min="23" max="23" width="34.33203125" style="176" customWidth="1"/>
    <col min="24" max="24" width="33.83203125" style="176" customWidth="1"/>
    <col min="25" max="25" width="37" style="176" customWidth="1"/>
    <col min="26" max="26" width="28" style="176" customWidth="1"/>
    <col min="27" max="27" width="26.83203125" style="176" customWidth="1"/>
    <col min="28" max="28" width="25.16015625" style="176" customWidth="1"/>
    <col min="29" max="29" width="32.33203125" style="176" customWidth="1"/>
    <col min="30" max="30" width="25.5" style="176" customWidth="1"/>
    <col min="31" max="31" width="28.33203125" style="176" customWidth="1"/>
    <col min="32" max="32" width="26.66015625" style="176" customWidth="1"/>
    <col min="33" max="33" width="29.83203125" style="176" customWidth="1"/>
    <col min="34" max="34" width="27.66015625" style="176" customWidth="1"/>
    <col min="35" max="35" width="40.5" style="176" customWidth="1"/>
    <col min="36" max="36" width="20.16015625" style="176" customWidth="1"/>
    <col min="37" max="37" width="37.5" style="176" customWidth="1"/>
    <col min="38" max="38" width="29.66015625" style="176" customWidth="1"/>
    <col min="39" max="39" width="28.5" style="176" customWidth="1"/>
    <col min="40" max="40" width="23.83203125" style="176" customWidth="1"/>
    <col min="41" max="41" width="19.33203125" style="176" customWidth="1"/>
    <col min="42" max="42" width="26.16015625" style="176" customWidth="1"/>
    <col min="43" max="43" width="37.33203125" style="176" customWidth="1"/>
    <col min="44" max="44" width="17.16015625" style="176" customWidth="1"/>
    <col min="45" max="45" width="20.16015625" style="176" customWidth="1"/>
    <col min="46" max="16384" width="9.16015625" style="176" customWidth="1"/>
  </cols>
  <sheetData>
    <row r="1" spans="4:36" ht="71.25" customHeight="1">
      <c r="D1" s="1" t="s">
        <v>490</v>
      </c>
      <c r="E1" s="47"/>
      <c r="F1" s="47"/>
      <c r="G1" s="47"/>
      <c r="H1" s="47"/>
      <c r="I1" s="47"/>
      <c r="J1" s="47"/>
      <c r="K1" s="463" t="s">
        <v>295</v>
      </c>
      <c r="L1" s="463"/>
      <c r="M1" s="442"/>
      <c r="N1" s="442"/>
      <c r="Q1" s="463"/>
      <c r="R1" s="46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47"/>
    </row>
    <row r="2" spans="4:40" ht="18.75"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2"/>
      <c r="P2" s="482"/>
      <c r="Q2" s="483"/>
      <c r="R2" s="174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47"/>
      <c r="AK2" s="230"/>
      <c r="AL2" s="230"/>
      <c r="AM2" s="230"/>
      <c r="AN2" s="227"/>
    </row>
    <row r="3" spans="15:40" ht="21.75" customHeight="1">
      <c r="O3" s="177"/>
      <c r="P3" s="177"/>
      <c r="Q3" s="177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K3" s="230"/>
      <c r="AL3" s="230"/>
      <c r="AM3" s="230"/>
      <c r="AN3" s="227"/>
    </row>
    <row r="4" spans="4:40" ht="21.75" customHeight="1">
      <c r="D4" s="484" t="s">
        <v>171</v>
      </c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370"/>
      <c r="P4" s="370"/>
      <c r="Q4" s="370"/>
      <c r="R4" s="370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K4" s="230"/>
      <c r="AL4" s="230"/>
      <c r="AM4" s="230"/>
      <c r="AN4" s="227"/>
    </row>
    <row r="5" spans="1:40" ht="28.5" customHeight="1">
      <c r="A5" s="178"/>
      <c r="B5" s="178"/>
      <c r="C5" s="178"/>
      <c r="D5" s="291">
        <v>12523000000</v>
      </c>
      <c r="E5" s="47"/>
      <c r="O5" s="176"/>
      <c r="P5" s="176"/>
      <c r="Q5" s="176"/>
      <c r="R5" s="306"/>
      <c r="S5" s="306"/>
      <c r="T5" s="307"/>
      <c r="U5" s="307"/>
      <c r="V5" s="307"/>
      <c r="W5" s="307"/>
      <c r="X5" s="307"/>
      <c r="Y5" s="307"/>
      <c r="Z5" s="175"/>
      <c r="AA5" s="175"/>
      <c r="AB5" s="175"/>
      <c r="AC5" s="179"/>
      <c r="AD5" s="179"/>
      <c r="AE5" s="179"/>
      <c r="AF5" s="179"/>
      <c r="AG5" s="179"/>
      <c r="AH5" s="179"/>
      <c r="AI5" s="179"/>
      <c r="AJ5" s="308"/>
      <c r="AK5" s="309"/>
      <c r="AL5" s="309"/>
      <c r="AM5" s="309"/>
      <c r="AN5" s="310"/>
    </row>
    <row r="6" spans="1:40" ht="28.5" customHeight="1">
      <c r="A6" s="178"/>
      <c r="B6" s="178"/>
      <c r="C6" s="178"/>
      <c r="D6" s="290" t="s">
        <v>120</v>
      </c>
      <c r="E6" s="47"/>
      <c r="O6" s="176"/>
      <c r="P6" s="176"/>
      <c r="Q6" s="176"/>
      <c r="R6" s="306"/>
      <c r="S6" s="306"/>
      <c r="T6" s="175"/>
      <c r="U6" s="175"/>
      <c r="V6" s="175"/>
      <c r="W6" s="175"/>
      <c r="X6" s="175"/>
      <c r="Y6" s="175"/>
      <c r="Z6" s="175"/>
      <c r="AA6" s="175"/>
      <c r="AB6" s="175"/>
      <c r="AC6" s="179"/>
      <c r="AD6" s="179"/>
      <c r="AE6" s="179"/>
      <c r="AF6" s="179"/>
      <c r="AG6" s="179"/>
      <c r="AH6" s="179"/>
      <c r="AI6" s="179"/>
      <c r="AJ6" s="180"/>
      <c r="AK6" s="229"/>
      <c r="AL6" s="229"/>
      <c r="AM6" s="229"/>
      <c r="AN6" s="228"/>
    </row>
    <row r="7" spans="1:40" s="47" customFormat="1" ht="21" customHeight="1">
      <c r="A7" s="181" t="s">
        <v>172</v>
      </c>
      <c r="B7" s="182" t="s">
        <v>173</v>
      </c>
      <c r="C7" s="183">
        <v>0</v>
      </c>
      <c r="D7" s="479" t="s">
        <v>174</v>
      </c>
      <c r="E7" s="479" t="s">
        <v>175</v>
      </c>
      <c r="F7" s="490" t="s">
        <v>266</v>
      </c>
      <c r="G7" s="474"/>
      <c r="H7" s="474"/>
      <c r="I7" s="474"/>
      <c r="J7" s="474"/>
      <c r="K7" s="474"/>
      <c r="L7" s="474"/>
      <c r="M7" s="474" t="s">
        <v>266</v>
      </c>
      <c r="N7" s="474"/>
      <c r="O7" s="474"/>
      <c r="P7" s="474"/>
      <c r="Q7" s="474"/>
      <c r="R7" s="474"/>
      <c r="S7" s="474" t="s">
        <v>266</v>
      </c>
      <c r="T7" s="474"/>
      <c r="U7" s="474"/>
      <c r="V7" s="474"/>
      <c r="W7" s="474"/>
      <c r="X7" s="474"/>
      <c r="Y7" s="474" t="s">
        <v>266</v>
      </c>
      <c r="Z7" s="474"/>
      <c r="AA7" s="474"/>
      <c r="AB7" s="474"/>
      <c r="AC7" s="474"/>
      <c r="AD7" s="474"/>
      <c r="AE7" s="474"/>
      <c r="AF7" s="474"/>
      <c r="AG7" s="474" t="s">
        <v>266</v>
      </c>
      <c r="AH7" s="474"/>
      <c r="AI7" s="474"/>
      <c r="AJ7" s="496"/>
      <c r="AK7" s="492" t="s">
        <v>275</v>
      </c>
      <c r="AL7" s="492"/>
      <c r="AM7" s="492"/>
      <c r="AN7" s="492"/>
    </row>
    <row r="8" spans="1:40" s="47" customFormat="1" ht="23.25" customHeight="1">
      <c r="A8" s="181" t="s">
        <v>176</v>
      </c>
      <c r="B8" s="182" t="s">
        <v>173</v>
      </c>
      <c r="C8" s="183">
        <v>0</v>
      </c>
      <c r="D8" s="480"/>
      <c r="E8" s="480"/>
      <c r="F8" s="488" t="s">
        <v>177</v>
      </c>
      <c r="G8" s="424"/>
      <c r="H8" s="488" t="s">
        <v>485</v>
      </c>
      <c r="I8" s="486" t="s">
        <v>178</v>
      </c>
      <c r="J8" s="495" t="s">
        <v>267</v>
      </c>
      <c r="K8" s="475"/>
      <c r="L8" s="475"/>
      <c r="M8" s="475" t="s">
        <v>267</v>
      </c>
      <c r="N8" s="475"/>
      <c r="O8" s="475"/>
      <c r="P8" s="475"/>
      <c r="Q8" s="475"/>
      <c r="R8" s="475"/>
      <c r="S8" s="475" t="s">
        <v>267</v>
      </c>
      <c r="T8" s="475"/>
      <c r="U8" s="475"/>
      <c r="V8" s="475"/>
      <c r="W8" s="475"/>
      <c r="X8" s="475"/>
      <c r="Y8" s="476" t="s">
        <v>267</v>
      </c>
      <c r="Z8" s="476"/>
      <c r="AA8" s="476"/>
      <c r="AB8" s="476"/>
      <c r="AC8" s="477"/>
      <c r="AD8" s="478" t="s">
        <v>397</v>
      </c>
      <c r="AE8" s="476"/>
      <c r="AF8" s="476"/>
      <c r="AG8" s="478" t="s">
        <v>397</v>
      </c>
      <c r="AH8" s="476"/>
      <c r="AI8" s="476"/>
      <c r="AJ8" s="491" t="s">
        <v>104</v>
      </c>
      <c r="AK8" s="422" t="s">
        <v>267</v>
      </c>
      <c r="AL8" s="493" t="s">
        <v>268</v>
      </c>
      <c r="AM8" s="494"/>
      <c r="AN8" s="491" t="s">
        <v>104</v>
      </c>
    </row>
    <row r="9" spans="1:40" s="47" customFormat="1" ht="394.5" customHeight="1">
      <c r="A9" s="181"/>
      <c r="B9" s="182"/>
      <c r="C9" s="183"/>
      <c r="D9" s="480"/>
      <c r="E9" s="480"/>
      <c r="F9" s="489"/>
      <c r="G9" s="425" t="s">
        <v>484</v>
      </c>
      <c r="H9" s="489"/>
      <c r="I9" s="487"/>
      <c r="J9" s="413" t="s">
        <v>443</v>
      </c>
      <c r="K9" s="185" t="s">
        <v>20</v>
      </c>
      <c r="L9" s="371" t="s">
        <v>392</v>
      </c>
      <c r="M9" s="371" t="s">
        <v>468</v>
      </c>
      <c r="N9" s="185" t="s">
        <v>179</v>
      </c>
      <c r="O9" s="114" t="s">
        <v>269</v>
      </c>
      <c r="P9" s="156" t="s">
        <v>469</v>
      </c>
      <c r="Q9" s="114" t="s">
        <v>270</v>
      </c>
      <c r="R9" s="51" t="s">
        <v>271</v>
      </c>
      <c r="S9" s="51" t="s">
        <v>272</v>
      </c>
      <c r="T9" s="51" t="s">
        <v>273</v>
      </c>
      <c r="U9" s="51" t="s">
        <v>380</v>
      </c>
      <c r="V9" s="51" t="s">
        <v>376</v>
      </c>
      <c r="W9" s="51" t="s">
        <v>377</v>
      </c>
      <c r="X9" s="51" t="s">
        <v>378</v>
      </c>
      <c r="Y9" s="51" t="s">
        <v>467</v>
      </c>
      <c r="Z9" s="184" t="s">
        <v>483</v>
      </c>
      <c r="AA9" s="184" t="s">
        <v>396</v>
      </c>
      <c r="AB9" s="184" t="s">
        <v>466</v>
      </c>
      <c r="AC9" s="184" t="s">
        <v>274</v>
      </c>
      <c r="AD9" s="413" t="s">
        <v>443</v>
      </c>
      <c r="AE9" s="185" t="s">
        <v>461</v>
      </c>
      <c r="AF9" s="185" t="s">
        <v>462</v>
      </c>
      <c r="AG9" s="185" t="s">
        <v>480</v>
      </c>
      <c r="AH9" s="185" t="s">
        <v>463</v>
      </c>
      <c r="AI9" s="185" t="s">
        <v>476</v>
      </c>
      <c r="AJ9" s="491"/>
      <c r="AK9" s="212" t="s">
        <v>478</v>
      </c>
      <c r="AL9" s="212" t="s">
        <v>479</v>
      </c>
      <c r="AM9" s="212" t="s">
        <v>477</v>
      </c>
      <c r="AN9" s="491"/>
    </row>
    <row r="10" spans="1:40" s="47" customFormat="1" ht="25.5" customHeight="1">
      <c r="A10" s="181"/>
      <c r="B10" s="182"/>
      <c r="C10" s="183"/>
      <c r="D10" s="481"/>
      <c r="E10" s="481"/>
      <c r="F10" s="187">
        <v>41040200</v>
      </c>
      <c r="G10" s="187">
        <v>41040400</v>
      </c>
      <c r="H10" s="187">
        <v>41040400</v>
      </c>
      <c r="I10" s="187">
        <v>41040400</v>
      </c>
      <c r="J10" s="187">
        <v>41031400</v>
      </c>
      <c r="K10" s="187">
        <v>41033900</v>
      </c>
      <c r="L10" s="187">
        <v>41035500</v>
      </c>
      <c r="M10" s="187">
        <v>41050900</v>
      </c>
      <c r="N10" s="187">
        <v>41051000</v>
      </c>
      <c r="O10" s="188">
        <v>41051000</v>
      </c>
      <c r="P10" s="188">
        <v>41051100</v>
      </c>
      <c r="Q10" s="188">
        <v>41051200</v>
      </c>
      <c r="R10" s="187">
        <v>41051200</v>
      </c>
      <c r="S10" s="187">
        <v>41051200</v>
      </c>
      <c r="T10" s="187">
        <v>41051200</v>
      </c>
      <c r="U10" s="187">
        <v>41051400</v>
      </c>
      <c r="V10" s="187">
        <v>41051400</v>
      </c>
      <c r="W10" s="187">
        <v>41051400</v>
      </c>
      <c r="X10" s="187">
        <v>41051400</v>
      </c>
      <c r="Y10" s="187">
        <v>41051400</v>
      </c>
      <c r="Z10" s="189">
        <v>41053900</v>
      </c>
      <c r="AA10" s="189">
        <v>41053900</v>
      </c>
      <c r="AB10" s="189">
        <v>41053900</v>
      </c>
      <c r="AC10" s="189">
        <v>41055000</v>
      </c>
      <c r="AD10" s="189">
        <v>41031400</v>
      </c>
      <c r="AE10" s="189">
        <v>41053900</v>
      </c>
      <c r="AF10" s="189">
        <v>41053900</v>
      </c>
      <c r="AG10" s="189">
        <v>41053900</v>
      </c>
      <c r="AH10" s="189">
        <v>41053900</v>
      </c>
      <c r="AI10" s="189">
        <v>41055000</v>
      </c>
      <c r="AJ10" s="491"/>
      <c r="AK10" s="335">
        <v>9770</v>
      </c>
      <c r="AL10" s="335">
        <v>9770</v>
      </c>
      <c r="AM10" s="335">
        <v>9770</v>
      </c>
      <c r="AN10" s="491"/>
    </row>
    <row r="11" spans="1:40" s="47" customFormat="1" ht="29.25" customHeight="1">
      <c r="A11" s="181"/>
      <c r="B11" s="182"/>
      <c r="C11" s="183"/>
      <c r="D11" s="186">
        <v>99000000000</v>
      </c>
      <c r="E11" s="333" t="s">
        <v>263</v>
      </c>
      <c r="F11" s="426"/>
      <c r="G11" s="426"/>
      <c r="H11" s="426"/>
      <c r="I11" s="426"/>
      <c r="J11" s="427">
        <f>440-7.801</f>
        <v>432.199</v>
      </c>
      <c r="K11" s="427">
        <v>42911.5</v>
      </c>
      <c r="L11" s="428">
        <v>484.737</v>
      </c>
      <c r="M11" s="428"/>
      <c r="N11" s="426"/>
      <c r="O11" s="429"/>
      <c r="P11" s="429"/>
      <c r="Q11" s="429"/>
      <c r="R11" s="426"/>
      <c r="S11" s="426"/>
      <c r="T11" s="426"/>
      <c r="U11" s="430"/>
      <c r="V11" s="430"/>
      <c r="W11" s="430"/>
      <c r="X11" s="430"/>
      <c r="Y11" s="430"/>
      <c r="Z11" s="431"/>
      <c r="AA11" s="431"/>
      <c r="AB11" s="431"/>
      <c r="AC11" s="431"/>
      <c r="AD11" s="431">
        <f>2200-39.009</f>
        <v>2160.991</v>
      </c>
      <c r="AE11" s="431"/>
      <c r="AF11" s="431"/>
      <c r="AG11" s="431"/>
      <c r="AH11" s="431"/>
      <c r="AI11" s="431"/>
      <c r="AJ11" s="432">
        <f aca="true" t="shared" si="0" ref="AJ11:AJ16">SUM(F11:AI11)</f>
        <v>45989.427</v>
      </c>
      <c r="AK11" s="433"/>
      <c r="AL11" s="431"/>
      <c r="AM11" s="431"/>
      <c r="AN11" s="432">
        <f>SUM(AK11:AK11)</f>
        <v>0</v>
      </c>
    </row>
    <row r="12" spans="1:40" s="47" customFormat="1" ht="27" customHeight="1">
      <c r="A12" s="181"/>
      <c r="B12" s="182"/>
      <c r="C12" s="183"/>
      <c r="D12" s="186">
        <v>12100000000</v>
      </c>
      <c r="E12" s="333" t="s">
        <v>264</v>
      </c>
      <c r="F12" s="433">
        <v>1367.1</v>
      </c>
      <c r="G12" s="433"/>
      <c r="H12" s="433"/>
      <c r="I12" s="433"/>
      <c r="J12" s="433"/>
      <c r="K12" s="433"/>
      <c r="L12" s="433"/>
      <c r="M12" s="433">
        <f>417.477+292.234</f>
        <v>709.711</v>
      </c>
      <c r="N12" s="433"/>
      <c r="O12" s="434">
        <f>1553.948+31.577+11.609+27.631+26.457</f>
        <v>1651.2220000000002</v>
      </c>
      <c r="P12" s="434">
        <v>231.315</v>
      </c>
      <c r="Q12" s="434">
        <v>257.118</v>
      </c>
      <c r="R12" s="433">
        <v>130.47</v>
      </c>
      <c r="S12" s="433">
        <v>79.113</v>
      </c>
      <c r="T12" s="433">
        <v>40.145</v>
      </c>
      <c r="U12" s="431">
        <v>271.325</v>
      </c>
      <c r="V12" s="431">
        <v>128.511</v>
      </c>
      <c r="W12" s="431">
        <v>182.36</v>
      </c>
      <c r="X12" s="431">
        <v>203.11</v>
      </c>
      <c r="Y12" s="431">
        <v>66.332</v>
      </c>
      <c r="Z12" s="431">
        <v>11.232</v>
      </c>
      <c r="AA12" s="431">
        <v>35.84</v>
      </c>
      <c r="AB12" s="431"/>
      <c r="AC12" s="431">
        <f>1785.121-522.931</f>
        <v>1262.19</v>
      </c>
      <c r="AD12" s="431"/>
      <c r="AE12" s="431"/>
      <c r="AF12" s="431"/>
      <c r="AG12" s="431"/>
      <c r="AH12" s="431"/>
      <c r="AI12" s="431">
        <v>82.272</v>
      </c>
      <c r="AJ12" s="432">
        <f t="shared" si="0"/>
        <v>6709.366000000001</v>
      </c>
      <c r="AK12" s="435">
        <v>33.405</v>
      </c>
      <c r="AL12" s="436">
        <v>999.612</v>
      </c>
      <c r="AM12" s="436">
        <f>200.816-44.406</f>
        <v>156.41</v>
      </c>
      <c r="AN12" s="432">
        <f>SUM(AK12:AM12)</f>
        <v>1189.4270000000001</v>
      </c>
    </row>
    <row r="13" spans="1:40" s="47" customFormat="1" ht="27" customHeight="1">
      <c r="A13" s="181"/>
      <c r="B13" s="182"/>
      <c r="C13" s="183"/>
      <c r="D13" s="186">
        <v>12318200000</v>
      </c>
      <c r="E13" s="333" t="s">
        <v>398</v>
      </c>
      <c r="F13" s="433"/>
      <c r="G13" s="433">
        <v>78.351</v>
      </c>
      <c r="H13" s="433"/>
      <c r="I13" s="433"/>
      <c r="J13" s="433"/>
      <c r="K13" s="433"/>
      <c r="L13" s="433"/>
      <c r="M13" s="433"/>
      <c r="N13" s="433"/>
      <c r="O13" s="434"/>
      <c r="P13" s="434"/>
      <c r="Q13" s="434"/>
      <c r="R13" s="433"/>
      <c r="S13" s="433"/>
      <c r="T13" s="433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>
        <v>315.118</v>
      </c>
      <c r="AF13" s="431">
        <v>1175.092</v>
      </c>
      <c r="AG13" s="431">
        <v>1483.967</v>
      </c>
      <c r="AH13" s="431">
        <v>538.081</v>
      </c>
      <c r="AI13" s="431"/>
      <c r="AJ13" s="432">
        <f t="shared" si="0"/>
        <v>3590.6090000000004</v>
      </c>
      <c r="AK13" s="435"/>
      <c r="AL13" s="436"/>
      <c r="AM13" s="436"/>
      <c r="AN13" s="432"/>
    </row>
    <row r="14" spans="1:40" ht="31.5">
      <c r="A14" s="190" t="s">
        <v>180</v>
      </c>
      <c r="B14" s="191" t="s">
        <v>173</v>
      </c>
      <c r="C14" s="192">
        <v>0</v>
      </c>
      <c r="D14" s="311" t="s">
        <v>181</v>
      </c>
      <c r="E14" s="334" t="s">
        <v>265</v>
      </c>
      <c r="F14" s="427">
        <f>809.5-809.5</f>
        <v>0</v>
      </c>
      <c r="G14" s="427"/>
      <c r="H14" s="427"/>
      <c r="I14" s="427">
        <f>30072.125+470.079+548.553</f>
        <v>31090.757</v>
      </c>
      <c r="J14" s="427"/>
      <c r="K14" s="427"/>
      <c r="L14" s="427"/>
      <c r="M14" s="427"/>
      <c r="N14" s="427">
        <f>24647.8-1657.397</f>
        <v>22990.403</v>
      </c>
      <c r="O14" s="437"/>
      <c r="P14" s="437"/>
      <c r="Q14" s="437">
        <v>59.335</v>
      </c>
      <c r="R14" s="438">
        <f>17.73-17.73</f>
        <v>0</v>
      </c>
      <c r="S14" s="438"/>
      <c r="T14" s="438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>
        <v>107.903</v>
      </c>
      <c r="AJ14" s="432">
        <f t="shared" si="0"/>
        <v>54248.398</v>
      </c>
      <c r="AK14" s="435"/>
      <c r="AL14" s="435"/>
      <c r="AM14" s="435"/>
      <c r="AN14" s="440">
        <f>SUM(AK14:AK14)</f>
        <v>0</v>
      </c>
    </row>
    <row r="15" spans="1:40" ht="31.5">
      <c r="A15" s="190"/>
      <c r="B15" s="191"/>
      <c r="C15" s="192"/>
      <c r="D15" s="311" t="s">
        <v>464</v>
      </c>
      <c r="E15" s="334" t="s">
        <v>465</v>
      </c>
      <c r="F15" s="427"/>
      <c r="G15" s="427"/>
      <c r="H15" s="427">
        <v>151.271</v>
      </c>
      <c r="I15" s="427"/>
      <c r="J15" s="427"/>
      <c r="K15" s="427"/>
      <c r="L15" s="427"/>
      <c r="M15" s="427"/>
      <c r="N15" s="427"/>
      <c r="O15" s="437"/>
      <c r="P15" s="437"/>
      <c r="Q15" s="437"/>
      <c r="R15" s="438"/>
      <c r="S15" s="438"/>
      <c r="T15" s="438"/>
      <c r="U15" s="439"/>
      <c r="V15" s="439"/>
      <c r="W15" s="439"/>
      <c r="X15" s="439"/>
      <c r="Y15" s="439"/>
      <c r="Z15" s="439"/>
      <c r="AA15" s="439"/>
      <c r="AB15" s="439">
        <v>83.747</v>
      </c>
      <c r="AC15" s="439"/>
      <c r="AD15" s="439"/>
      <c r="AE15" s="439"/>
      <c r="AF15" s="439"/>
      <c r="AG15" s="439"/>
      <c r="AH15" s="439"/>
      <c r="AI15" s="439"/>
      <c r="AJ15" s="432">
        <f t="shared" si="0"/>
        <v>235.01799999999997</v>
      </c>
      <c r="AK15" s="435"/>
      <c r="AL15" s="435"/>
      <c r="AM15" s="435"/>
      <c r="AN15" s="440"/>
    </row>
    <row r="16" spans="1:40" ht="30.75" customHeight="1">
      <c r="A16" s="190">
        <v>13</v>
      </c>
      <c r="B16" s="193" t="s">
        <v>173</v>
      </c>
      <c r="C16" s="192">
        <v>0</v>
      </c>
      <c r="D16" s="187"/>
      <c r="E16" s="194" t="s">
        <v>182</v>
      </c>
      <c r="F16" s="195">
        <f>SUM(F12:F14)</f>
        <v>1367.1</v>
      </c>
      <c r="G16" s="195">
        <f>SUM(G12:G14)</f>
        <v>78.351</v>
      </c>
      <c r="H16" s="195">
        <f>SUM(H11:H15)</f>
        <v>151.271</v>
      </c>
      <c r="I16" s="196">
        <f aca="true" t="shared" si="1" ref="I16:AI16">SUM(I12:I14)</f>
        <v>31090.757</v>
      </c>
      <c r="J16" s="196">
        <f>SUM(J11:J14)</f>
        <v>432.199</v>
      </c>
      <c r="K16" s="196">
        <f>SUM(K11:K14)</f>
        <v>42911.5</v>
      </c>
      <c r="L16" s="196">
        <f>SUM(L11:L14)</f>
        <v>484.737</v>
      </c>
      <c r="M16" s="196">
        <f>SUM(M11:M14)</f>
        <v>709.711</v>
      </c>
      <c r="N16" s="196">
        <f>SUM(N12:N14)</f>
        <v>22990.403</v>
      </c>
      <c r="O16" s="196">
        <f t="shared" si="1"/>
        <v>1651.2220000000002</v>
      </c>
      <c r="P16" s="196">
        <f t="shared" si="1"/>
        <v>231.315</v>
      </c>
      <c r="Q16" s="196">
        <f t="shared" si="1"/>
        <v>316.453</v>
      </c>
      <c r="R16" s="195">
        <f t="shared" si="1"/>
        <v>130.47</v>
      </c>
      <c r="S16" s="195">
        <f t="shared" si="1"/>
        <v>79.113</v>
      </c>
      <c r="T16" s="195">
        <f t="shared" si="1"/>
        <v>40.145</v>
      </c>
      <c r="U16" s="195">
        <f t="shared" si="1"/>
        <v>271.325</v>
      </c>
      <c r="V16" s="195">
        <f t="shared" si="1"/>
        <v>128.511</v>
      </c>
      <c r="W16" s="195">
        <f t="shared" si="1"/>
        <v>182.36</v>
      </c>
      <c r="X16" s="195">
        <f t="shared" si="1"/>
        <v>203.11</v>
      </c>
      <c r="Y16" s="195">
        <f t="shared" si="1"/>
        <v>66.332</v>
      </c>
      <c r="Z16" s="195">
        <f>SUM(Z12:Z14)</f>
        <v>11.232</v>
      </c>
      <c r="AA16" s="195">
        <f>SUM(AA12:AA14)</f>
        <v>35.84</v>
      </c>
      <c r="AB16" s="195">
        <f>SUM(AB12:AB15)</f>
        <v>83.747</v>
      </c>
      <c r="AC16" s="195">
        <f t="shared" si="1"/>
        <v>1262.19</v>
      </c>
      <c r="AD16" s="195">
        <f>SUM(AD11:AD14)</f>
        <v>2160.991</v>
      </c>
      <c r="AE16" s="195">
        <f t="shared" si="1"/>
        <v>315.118</v>
      </c>
      <c r="AF16" s="195">
        <f t="shared" si="1"/>
        <v>1175.092</v>
      </c>
      <c r="AG16" s="195">
        <f t="shared" si="1"/>
        <v>1483.967</v>
      </c>
      <c r="AH16" s="195">
        <f t="shared" si="1"/>
        <v>538.081</v>
      </c>
      <c r="AI16" s="195">
        <f t="shared" si="1"/>
        <v>190.175</v>
      </c>
      <c r="AJ16" s="314">
        <f t="shared" si="0"/>
        <v>110772.81799999998</v>
      </c>
      <c r="AK16" s="213">
        <f>SUM(AK11:AK14)</f>
        <v>33.405</v>
      </c>
      <c r="AL16" s="213">
        <f>SUM(AL11:AL14)</f>
        <v>999.612</v>
      </c>
      <c r="AM16" s="213">
        <f>SUM(AM11:AM14)</f>
        <v>156.41</v>
      </c>
      <c r="AN16" s="213">
        <f>SUM(AN11:AN14)</f>
        <v>1189.4270000000001</v>
      </c>
    </row>
    <row r="17" spans="1:40" ht="30.75" customHeight="1">
      <c r="A17" s="190"/>
      <c r="B17" s="193"/>
      <c r="C17" s="192"/>
      <c r="D17" s="312"/>
      <c r="E17" s="197"/>
      <c r="F17" s="198"/>
      <c r="G17" s="198"/>
      <c r="H17" s="198"/>
      <c r="I17" s="199"/>
      <c r="J17" s="199"/>
      <c r="K17" s="199"/>
      <c r="L17" s="199"/>
      <c r="M17" s="199"/>
      <c r="N17" s="199"/>
      <c r="O17" s="199"/>
      <c r="P17" s="199"/>
      <c r="Q17" s="199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316"/>
      <c r="AK17" s="198"/>
      <c r="AL17" s="198"/>
      <c r="AM17" s="317"/>
      <c r="AN17" s="317"/>
    </row>
    <row r="18" spans="1:40" ht="15.75">
      <c r="A18" s="190"/>
      <c r="B18" s="193"/>
      <c r="C18" s="192"/>
      <c r="D18" s="312"/>
      <c r="E18" s="197"/>
      <c r="F18" s="198"/>
      <c r="G18" s="198"/>
      <c r="H18" s="198"/>
      <c r="I18" s="198"/>
      <c r="J18" s="198"/>
      <c r="K18" s="198"/>
      <c r="L18" s="198"/>
      <c r="M18" s="198"/>
      <c r="N18" s="198"/>
      <c r="O18" s="199"/>
      <c r="P18" s="199"/>
      <c r="Q18" s="199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200"/>
      <c r="AD18" s="200"/>
      <c r="AE18" s="200"/>
      <c r="AG18" s="441" t="s">
        <v>486</v>
      </c>
      <c r="AH18" s="443" t="s">
        <v>489</v>
      </c>
      <c r="AI18" s="421"/>
      <c r="AJ18" s="421"/>
      <c r="AK18" s="441"/>
      <c r="AL18" s="421"/>
      <c r="AM18" s="421"/>
      <c r="AN18" s="421"/>
    </row>
    <row r="19" spans="1:41" ht="15.75">
      <c r="A19" s="201"/>
      <c r="B19" s="202"/>
      <c r="C19" s="202"/>
      <c r="D19" s="313"/>
      <c r="E19" s="47"/>
      <c r="O19" s="203"/>
      <c r="P19" s="203"/>
      <c r="Q19" s="203"/>
      <c r="S19" s="315"/>
      <c r="T19" s="315"/>
      <c r="U19" s="315"/>
      <c r="V19" s="315"/>
      <c r="W19" s="239"/>
      <c r="X19" s="4"/>
      <c r="Y19" s="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369"/>
      <c r="AL19" s="420"/>
      <c r="AM19" s="369"/>
      <c r="AN19" s="369"/>
      <c r="AO19" s="369"/>
    </row>
    <row r="20" spans="1:39" ht="20.25" customHeight="1">
      <c r="A20" s="204"/>
      <c r="B20" s="205"/>
      <c r="C20" s="205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203"/>
      <c r="P20" s="203"/>
      <c r="Q20" s="203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</row>
    <row r="21" spans="1:45" s="208" customFormat="1" ht="15.75" hidden="1">
      <c r="A21" s="206"/>
      <c r="B21" s="207"/>
      <c r="C21" s="20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203"/>
      <c r="P21" s="203"/>
      <c r="Q21" s="203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176"/>
      <c r="AO21" s="176"/>
      <c r="AP21" s="176"/>
      <c r="AQ21" s="176"/>
      <c r="AR21" s="176"/>
      <c r="AS21" s="176"/>
    </row>
    <row r="22" spans="1:45" s="208" customFormat="1" ht="12.75" hidden="1">
      <c r="A22" s="206"/>
      <c r="B22" s="207"/>
      <c r="C22" s="207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209"/>
      <c r="P22" s="209"/>
      <c r="Q22" s="209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</row>
    <row r="23" spans="1:45" s="208" customFormat="1" ht="12.75">
      <c r="A23" s="206"/>
      <c r="B23" s="207"/>
      <c r="C23" s="207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209"/>
      <c r="P23" s="209"/>
      <c r="Q23" s="209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</row>
    <row r="24" spans="1:45" s="208" customFormat="1" ht="12.75">
      <c r="A24" s="206"/>
      <c r="B24" s="207"/>
      <c r="C24" s="207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209"/>
      <c r="P24" s="209"/>
      <c r="Q24" s="209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</row>
    <row r="25" spans="1:3" ht="12.75">
      <c r="A25" s="204"/>
      <c r="B25" s="205"/>
      <c r="C25" s="205"/>
    </row>
    <row r="26" spans="1:3" ht="12.75">
      <c r="A26" s="204"/>
      <c r="B26" s="205"/>
      <c r="C26" s="205"/>
    </row>
    <row r="27" spans="1:3" ht="12.75">
      <c r="A27" s="204"/>
      <c r="B27" s="205"/>
      <c r="C27" s="205"/>
    </row>
    <row r="28" spans="1:3" ht="12.75">
      <c r="A28" s="204"/>
      <c r="B28" s="205"/>
      <c r="C28" s="205"/>
    </row>
    <row r="29" spans="1:3" ht="12.75">
      <c r="A29" s="204"/>
      <c r="B29" s="205"/>
      <c r="C29" s="205"/>
    </row>
    <row r="30" spans="1:3" ht="12.75">
      <c r="A30" s="204"/>
      <c r="B30" s="205"/>
      <c r="C30" s="205"/>
    </row>
    <row r="31" spans="1:3" ht="12.75">
      <c r="A31" s="204"/>
      <c r="B31" s="205"/>
      <c r="C31" s="205"/>
    </row>
    <row r="32" spans="1:3" ht="12.75">
      <c r="A32" s="204"/>
      <c r="B32" s="205"/>
      <c r="C32" s="205"/>
    </row>
    <row r="33" spans="1:3" ht="12.75">
      <c r="A33" s="204"/>
      <c r="B33" s="205"/>
      <c r="C33" s="205"/>
    </row>
    <row r="34" spans="1:3" ht="12.75">
      <c r="A34" s="204"/>
      <c r="B34" s="205"/>
      <c r="C34" s="205"/>
    </row>
    <row r="35" spans="1:3" ht="12.75">
      <c r="A35" s="204"/>
      <c r="B35" s="205"/>
      <c r="C35" s="205"/>
    </row>
    <row r="36" spans="1:3" ht="12.75">
      <c r="A36" s="204"/>
      <c r="B36" s="205"/>
      <c r="C36" s="205"/>
    </row>
    <row r="37" spans="1:3" ht="12.75">
      <c r="A37" s="204"/>
      <c r="B37" s="205"/>
      <c r="C37" s="205"/>
    </row>
    <row r="38" spans="1:3" ht="12.75">
      <c r="A38" s="204"/>
      <c r="B38" s="205"/>
      <c r="C38" s="205"/>
    </row>
    <row r="39" spans="1:3" ht="12.75">
      <c r="A39" s="204"/>
      <c r="B39" s="205"/>
      <c r="C39" s="205"/>
    </row>
    <row r="40" spans="1:3" ht="12.75">
      <c r="A40" s="204"/>
      <c r="B40" s="205"/>
      <c r="C40" s="205"/>
    </row>
    <row r="41" spans="1:3" ht="12.75">
      <c r="A41" s="204"/>
      <c r="B41" s="205"/>
      <c r="C41" s="205"/>
    </row>
    <row r="42" spans="1:3" ht="12.75">
      <c r="A42" s="204"/>
      <c r="B42" s="205"/>
      <c r="C42" s="205"/>
    </row>
    <row r="43" spans="1:3" ht="12.75">
      <c r="A43" s="204"/>
      <c r="B43" s="205"/>
      <c r="C43" s="205"/>
    </row>
    <row r="44" spans="1:3" ht="12.75">
      <c r="A44" s="204"/>
      <c r="B44" s="205"/>
      <c r="C44" s="205"/>
    </row>
    <row r="45" spans="1:3" ht="12.75">
      <c r="A45" s="204"/>
      <c r="B45" s="205"/>
      <c r="C45" s="205"/>
    </row>
    <row r="46" spans="1:3" ht="12.75">
      <c r="A46" s="204"/>
      <c r="B46" s="205"/>
      <c r="C46" s="205"/>
    </row>
    <row r="47" spans="1:3" ht="12.75">
      <c r="A47" s="204"/>
      <c r="B47" s="205"/>
      <c r="C47" s="205"/>
    </row>
    <row r="48" ht="44.25" customHeight="1">
      <c r="A48" s="204"/>
    </row>
    <row r="49" ht="12.75">
      <c r="A49" s="204"/>
    </row>
    <row r="50" ht="12.75">
      <c r="A50" s="204"/>
    </row>
    <row r="51" ht="16.5" thickBot="1">
      <c r="C51" s="210"/>
    </row>
    <row r="61" ht="45.75" customHeight="1"/>
  </sheetData>
  <sheetProtection/>
  <mergeCells count="25">
    <mergeCell ref="Z19:AJ19"/>
    <mergeCell ref="AN8:AN10"/>
    <mergeCell ref="AK7:AN7"/>
    <mergeCell ref="AJ8:AJ10"/>
    <mergeCell ref="F8:F9"/>
    <mergeCell ref="AL8:AM8"/>
    <mergeCell ref="J8:L8"/>
    <mergeCell ref="M7:R7"/>
    <mergeCell ref="AG8:AI8"/>
    <mergeCell ref="AG7:AJ7"/>
    <mergeCell ref="D7:D10"/>
    <mergeCell ref="E7:E10"/>
    <mergeCell ref="O2:Q2"/>
    <mergeCell ref="D4:N4"/>
    <mergeCell ref="K1:L1"/>
    <mergeCell ref="I8:I9"/>
    <mergeCell ref="H8:H9"/>
    <mergeCell ref="F7:L7"/>
    <mergeCell ref="M8:R8"/>
    <mergeCell ref="S7:X7"/>
    <mergeCell ref="S8:X8"/>
    <mergeCell ref="Y8:AC8"/>
    <mergeCell ref="Y7:AF7"/>
    <mergeCell ref="AD8:AF8"/>
    <mergeCell ref="Q1:R1"/>
  </mergeCells>
  <printOptions horizontalCentered="1"/>
  <pageMargins left="0.31496062992125984" right="0.31496062992125984" top="0.9448818897637796" bottom="0.15748031496062992" header="0.31496062992125984" footer="0.31496062992125984"/>
  <pageSetup fitToHeight="2" horizontalDpi="600" verticalDpi="600" orientation="landscape" paperSize="9" scale="50" r:id="rId1"/>
  <headerFooter differentFirst="1" alignWithMargins="0">
    <oddHeader>&amp;C&amp;P&amp;Rпродовження Додатка 4</oddHeader>
  </headerFooter>
  <rowBreaks count="1" manualBreakCount="1">
    <brk id="20" max="6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54"/>
  <sheetViews>
    <sheetView zoomScale="70" zoomScaleNormal="70" zoomScaleSheetLayoutView="70" zoomScalePageLayoutView="0" workbookViewId="0" topLeftCell="B1">
      <selection activeCell="B1" sqref="B1"/>
    </sheetView>
  </sheetViews>
  <sheetFormatPr defaultColWidth="9.16015625" defaultRowHeight="12.75"/>
  <cols>
    <col min="1" max="1" width="3.83203125" style="1" hidden="1" customWidth="1"/>
    <col min="2" max="4" width="14.33203125" style="1" customWidth="1"/>
    <col min="5" max="5" width="43.33203125" style="1" customWidth="1"/>
    <col min="6" max="6" width="91.5" style="1" customWidth="1"/>
    <col min="7" max="11" width="22.83203125" style="1" customWidth="1"/>
    <col min="12" max="12" width="15" style="4" customWidth="1"/>
    <col min="13" max="13" width="11.66015625" style="4" customWidth="1"/>
    <col min="14" max="14" width="13.5" style="4" customWidth="1"/>
    <col min="15" max="18" width="9.16015625" style="4" customWidth="1"/>
    <col min="19" max="19" width="12.66015625" style="4" bestFit="1" customWidth="1"/>
    <col min="20" max="16384" width="9.16015625" style="4" customWidth="1"/>
  </cols>
  <sheetData>
    <row r="1" spans="1:11" s="29" customFormat="1" ht="107.25" customHeight="1">
      <c r="A1" s="46"/>
      <c r="B1" s="1" t="s">
        <v>490</v>
      </c>
      <c r="C1" s="283"/>
      <c r="D1" s="283"/>
      <c r="E1" s="283"/>
      <c r="F1" s="283"/>
      <c r="G1" s="283"/>
      <c r="H1" s="463"/>
      <c r="I1" s="463"/>
      <c r="J1" s="463" t="s">
        <v>296</v>
      </c>
      <c r="K1" s="463"/>
    </row>
    <row r="2" spans="8:11" ht="15.75">
      <c r="H2" s="445"/>
      <c r="I2" s="445"/>
      <c r="J2" s="453"/>
      <c r="K2" s="453"/>
    </row>
    <row r="3" spans="2:13" ht="38.25" customHeight="1">
      <c r="B3" s="501" t="s">
        <v>261</v>
      </c>
      <c r="C3" s="501"/>
      <c r="D3" s="501"/>
      <c r="E3" s="501"/>
      <c r="F3" s="501"/>
      <c r="G3" s="501"/>
      <c r="H3" s="501"/>
      <c r="I3" s="501"/>
      <c r="J3" s="501"/>
      <c r="K3" s="501"/>
      <c r="L3" s="281"/>
      <c r="M3" s="281"/>
    </row>
    <row r="4" spans="2:13" ht="16.5" customHeight="1">
      <c r="B4" s="291">
        <v>12523000000</v>
      </c>
      <c r="C4" s="320"/>
      <c r="D4" s="282"/>
      <c r="E4" s="282"/>
      <c r="F4" s="282"/>
      <c r="G4" s="282"/>
      <c r="H4" s="282"/>
      <c r="I4" s="282"/>
      <c r="J4" s="282"/>
      <c r="K4" s="282"/>
      <c r="L4" s="281"/>
      <c r="M4" s="281"/>
    </row>
    <row r="5" spans="2:11" ht="21" customHeight="1">
      <c r="B5" s="290" t="s">
        <v>120</v>
      </c>
      <c r="C5" s="321"/>
      <c r="D5" s="280"/>
      <c r="E5" s="280"/>
      <c r="F5" s="278"/>
      <c r="G5" s="278"/>
      <c r="H5" s="278"/>
      <c r="I5" s="278"/>
      <c r="J5" s="279"/>
      <c r="K5" s="278"/>
    </row>
    <row r="6" spans="1:11" ht="129.75" customHeight="1">
      <c r="A6" s="260"/>
      <c r="B6" s="318" t="s">
        <v>258</v>
      </c>
      <c r="C6" s="318" t="s">
        <v>257</v>
      </c>
      <c r="D6" s="318" t="s">
        <v>106</v>
      </c>
      <c r="E6" s="318" t="s">
        <v>256</v>
      </c>
      <c r="F6" s="319" t="s">
        <v>255</v>
      </c>
      <c r="G6" s="319" t="s">
        <v>254</v>
      </c>
      <c r="H6" s="319" t="s">
        <v>253</v>
      </c>
      <c r="I6" s="319" t="s">
        <v>276</v>
      </c>
      <c r="J6" s="319" t="s">
        <v>278</v>
      </c>
      <c r="K6" s="319" t="s">
        <v>277</v>
      </c>
    </row>
    <row r="7" spans="1:11" ht="47.25" customHeight="1" hidden="1">
      <c r="A7" s="260"/>
      <c r="B7" s="260"/>
      <c r="C7" s="277"/>
      <c r="D7" s="276"/>
      <c r="E7" s="263"/>
      <c r="F7" s="23"/>
      <c r="G7" s="23"/>
      <c r="H7" s="23"/>
      <c r="I7" s="23"/>
      <c r="J7" s="23"/>
      <c r="K7" s="23"/>
    </row>
    <row r="8" spans="1:11" ht="47.25" customHeight="1" hidden="1">
      <c r="A8" s="260"/>
      <c r="B8" s="271"/>
      <c r="C8" s="275"/>
      <c r="D8" s="274"/>
      <c r="E8" s="273"/>
      <c r="F8" s="267"/>
      <c r="G8" s="267"/>
      <c r="H8" s="266"/>
      <c r="I8" s="266"/>
      <c r="J8" s="272"/>
      <c r="K8" s="272"/>
    </row>
    <row r="9" spans="1:11" ht="45.75" customHeight="1" hidden="1">
      <c r="A9" s="260"/>
      <c r="B9" s="271"/>
      <c r="C9" s="270"/>
      <c r="D9" s="269"/>
      <c r="E9" s="268"/>
      <c r="F9" s="267"/>
      <c r="G9" s="267"/>
      <c r="H9" s="266"/>
      <c r="I9" s="266"/>
      <c r="J9" s="266"/>
      <c r="K9" s="266"/>
    </row>
    <row r="10" spans="1:11" ht="21" customHeight="1">
      <c r="A10" s="264"/>
      <c r="B10" s="84" t="s">
        <v>252</v>
      </c>
      <c r="C10" s="265">
        <v>2</v>
      </c>
      <c r="D10" s="63" t="s">
        <v>251</v>
      </c>
      <c r="E10" s="93">
        <v>4</v>
      </c>
      <c r="F10" s="185">
        <v>5</v>
      </c>
      <c r="G10" s="185">
        <v>6</v>
      </c>
      <c r="H10" s="185">
        <v>7</v>
      </c>
      <c r="I10" s="185">
        <v>8</v>
      </c>
      <c r="J10" s="185">
        <v>9</v>
      </c>
      <c r="K10" s="185">
        <v>10</v>
      </c>
    </row>
    <row r="11" spans="1:11" ht="45.75" customHeight="1" hidden="1">
      <c r="A11" s="264"/>
      <c r="B11" s="259"/>
      <c r="C11" s="262"/>
      <c r="D11" s="63"/>
      <c r="E11" s="263"/>
      <c r="F11" s="258"/>
      <c r="G11" s="258"/>
      <c r="H11" s="261"/>
      <c r="I11" s="261"/>
      <c r="J11" s="261"/>
      <c r="K11" s="257"/>
    </row>
    <row r="12" spans="1:11" ht="87.75" customHeight="1" hidden="1">
      <c r="A12" s="260"/>
      <c r="B12" s="323"/>
      <c r="C12" s="324"/>
      <c r="D12" s="325"/>
      <c r="E12" s="326"/>
      <c r="F12" s="327"/>
      <c r="G12" s="327"/>
      <c r="H12" s="328"/>
      <c r="I12" s="328"/>
      <c r="J12" s="328"/>
      <c r="K12" s="328"/>
    </row>
    <row r="13" spans="1:11" ht="31.5">
      <c r="A13" s="260"/>
      <c r="B13" s="352"/>
      <c r="C13" s="408" t="s">
        <v>77</v>
      </c>
      <c r="D13" s="353"/>
      <c r="E13" s="357" t="s">
        <v>219</v>
      </c>
      <c r="F13" s="358"/>
      <c r="G13" s="359"/>
      <c r="H13" s="349"/>
      <c r="I13" s="349"/>
      <c r="J13" s="349">
        <f>SUM(J15:J41)</f>
        <v>8746.692000000003</v>
      </c>
      <c r="K13" s="348"/>
    </row>
    <row r="14" spans="1:11" ht="67.5" customHeight="1" hidden="1">
      <c r="A14" s="260"/>
      <c r="B14" s="352"/>
      <c r="C14" s="354"/>
      <c r="D14" s="355"/>
      <c r="E14" s="354"/>
      <c r="F14" s="350"/>
      <c r="G14" s="266"/>
      <c r="H14" s="347"/>
      <c r="I14" s="347"/>
      <c r="J14" s="347"/>
      <c r="K14" s="348"/>
    </row>
    <row r="15" spans="1:11" ht="55.5" customHeight="1">
      <c r="A15" s="260"/>
      <c r="B15" s="393" t="s">
        <v>381</v>
      </c>
      <c r="C15" s="393" t="s">
        <v>450</v>
      </c>
      <c r="D15" s="393" t="s">
        <v>69</v>
      </c>
      <c r="E15" s="136" t="s">
        <v>126</v>
      </c>
      <c r="F15" s="395" t="s">
        <v>448</v>
      </c>
      <c r="G15" s="384" t="s">
        <v>259</v>
      </c>
      <c r="H15" s="383" t="s">
        <v>472</v>
      </c>
      <c r="I15" s="396"/>
      <c r="J15" s="397">
        <v>453.28</v>
      </c>
      <c r="K15" s="387">
        <v>100</v>
      </c>
    </row>
    <row r="16" spans="1:11" ht="32.25" customHeight="1">
      <c r="A16" s="260"/>
      <c r="B16" s="218" t="s">
        <v>310</v>
      </c>
      <c r="C16" s="114">
        <v>7310</v>
      </c>
      <c r="D16" s="393" t="s">
        <v>238</v>
      </c>
      <c r="E16" s="391" t="s">
        <v>311</v>
      </c>
      <c r="F16" s="364" t="s">
        <v>399</v>
      </c>
      <c r="G16" s="140">
        <v>2021</v>
      </c>
      <c r="H16" s="373">
        <v>199.9</v>
      </c>
      <c r="I16" s="374"/>
      <c r="J16" s="375">
        <v>199.9</v>
      </c>
      <c r="K16" s="414">
        <v>100</v>
      </c>
    </row>
    <row r="17" spans="1:11" ht="67.5" customHeight="1" hidden="1">
      <c r="A17" s="260"/>
      <c r="B17" s="393"/>
      <c r="C17" s="393"/>
      <c r="D17" s="393"/>
      <c r="E17" s="395"/>
      <c r="F17" s="395"/>
      <c r="G17" s="376"/>
      <c r="H17" s="377"/>
      <c r="I17" s="378"/>
      <c r="J17" s="379"/>
      <c r="K17" s="380"/>
    </row>
    <row r="18" spans="1:11" ht="47.25" customHeight="1" hidden="1">
      <c r="A18" s="260"/>
      <c r="B18" s="393"/>
      <c r="C18" s="393"/>
      <c r="D18" s="393"/>
      <c r="E18" s="136"/>
      <c r="F18" s="395"/>
      <c r="G18" s="384"/>
      <c r="H18" s="383"/>
      <c r="I18" s="396"/>
      <c r="J18" s="397"/>
      <c r="K18" s="387"/>
    </row>
    <row r="19" spans="1:11" ht="55.5" customHeight="1" hidden="1">
      <c r="A19" s="260"/>
      <c r="B19" s="393"/>
      <c r="C19" s="393"/>
      <c r="D19" s="393"/>
      <c r="E19" s="136"/>
      <c r="F19" s="395"/>
      <c r="G19" s="384"/>
      <c r="H19" s="383"/>
      <c r="I19" s="396"/>
      <c r="J19" s="397"/>
      <c r="K19" s="387"/>
    </row>
    <row r="20" spans="1:11" ht="39" customHeight="1">
      <c r="A20" s="260"/>
      <c r="B20" s="393" t="s">
        <v>310</v>
      </c>
      <c r="C20" s="393" t="s">
        <v>456</v>
      </c>
      <c r="D20" s="393" t="s">
        <v>238</v>
      </c>
      <c r="E20" s="391" t="s">
        <v>311</v>
      </c>
      <c r="F20" s="395" t="s">
        <v>457</v>
      </c>
      <c r="G20" s="384" t="s">
        <v>259</v>
      </c>
      <c r="H20" s="397">
        <v>84</v>
      </c>
      <c r="I20" s="396"/>
      <c r="J20" s="397">
        <v>84</v>
      </c>
      <c r="K20" s="387">
        <v>100</v>
      </c>
    </row>
    <row r="21" spans="1:11" ht="40.5" customHeight="1">
      <c r="A21" s="260"/>
      <c r="B21" s="393" t="s">
        <v>237</v>
      </c>
      <c r="C21" s="393" t="s">
        <v>400</v>
      </c>
      <c r="D21" s="393" t="s">
        <v>238</v>
      </c>
      <c r="E21" s="136" t="s">
        <v>239</v>
      </c>
      <c r="F21" s="395" t="s">
        <v>448</v>
      </c>
      <c r="G21" s="384" t="s">
        <v>259</v>
      </c>
      <c r="H21" s="381">
        <v>79.07</v>
      </c>
      <c r="I21" s="378"/>
      <c r="J21" s="379">
        <v>79.07</v>
      </c>
      <c r="K21" s="380">
        <v>100</v>
      </c>
    </row>
    <row r="22" spans="1:11" ht="65.25" customHeight="1">
      <c r="A22" s="260"/>
      <c r="B22" s="84" t="s">
        <v>312</v>
      </c>
      <c r="C22" s="51">
        <v>7322</v>
      </c>
      <c r="D22" s="111" t="s">
        <v>238</v>
      </c>
      <c r="E22" s="391" t="s">
        <v>313</v>
      </c>
      <c r="F22" s="395" t="s">
        <v>474</v>
      </c>
      <c r="G22" s="384" t="s">
        <v>259</v>
      </c>
      <c r="H22" s="381">
        <v>15.709</v>
      </c>
      <c r="I22" s="378"/>
      <c r="J22" s="379">
        <v>15.709</v>
      </c>
      <c r="K22" s="380">
        <v>100</v>
      </c>
    </row>
    <row r="23" spans="1:11" ht="69" customHeight="1">
      <c r="A23" s="260"/>
      <c r="B23" s="84" t="s">
        <v>312</v>
      </c>
      <c r="C23" s="51">
        <v>7322</v>
      </c>
      <c r="D23" s="111" t="s">
        <v>238</v>
      </c>
      <c r="E23" s="391" t="s">
        <v>313</v>
      </c>
      <c r="F23" s="258" t="s">
        <v>327</v>
      </c>
      <c r="G23" s="140">
        <v>2021</v>
      </c>
      <c r="H23" s="373">
        <v>643.407</v>
      </c>
      <c r="I23" s="373"/>
      <c r="J23" s="373">
        <v>643.407</v>
      </c>
      <c r="K23" s="380">
        <v>100</v>
      </c>
    </row>
    <row r="24" spans="1:11" ht="67.5" customHeight="1" hidden="1">
      <c r="A24" s="260"/>
      <c r="B24" s="394"/>
      <c r="C24" s="394"/>
      <c r="D24" s="394"/>
      <c r="E24" s="392"/>
      <c r="F24" s="392"/>
      <c r="G24" s="366"/>
      <c r="H24" s="366"/>
      <c r="I24" s="366"/>
      <c r="J24" s="372"/>
      <c r="K24" s="366"/>
    </row>
    <row r="25" spans="1:11" ht="43.5" customHeight="1" hidden="1">
      <c r="A25" s="260"/>
      <c r="B25" s="394"/>
      <c r="C25" s="394"/>
      <c r="D25" s="394"/>
      <c r="E25" s="392"/>
      <c r="F25" s="392"/>
      <c r="G25" s="366"/>
      <c r="H25" s="366"/>
      <c r="I25" s="366"/>
      <c r="J25" s="372"/>
      <c r="K25" s="366"/>
    </row>
    <row r="26" spans="1:11" ht="63" customHeight="1" hidden="1">
      <c r="A26" s="260"/>
      <c r="B26" s="84"/>
      <c r="C26" s="51"/>
      <c r="D26" s="63"/>
      <c r="E26" s="391"/>
      <c r="F26" s="399"/>
      <c r="G26" s="140"/>
      <c r="H26" s="373"/>
      <c r="I26" s="373"/>
      <c r="J26" s="373"/>
      <c r="K26" s="380"/>
    </row>
    <row r="27" spans="1:11" ht="63" customHeight="1">
      <c r="A27" s="346"/>
      <c r="B27" s="84" t="s">
        <v>312</v>
      </c>
      <c r="C27" s="51">
        <v>7322</v>
      </c>
      <c r="D27" s="111" t="s">
        <v>238</v>
      </c>
      <c r="E27" s="391" t="s">
        <v>313</v>
      </c>
      <c r="F27" s="258" t="s">
        <v>403</v>
      </c>
      <c r="G27" s="140">
        <v>2021</v>
      </c>
      <c r="H27" s="382">
        <v>315.118</v>
      </c>
      <c r="I27" s="373"/>
      <c r="J27" s="382">
        <v>315.118</v>
      </c>
      <c r="K27" s="380">
        <v>100</v>
      </c>
    </row>
    <row r="28" spans="1:11" ht="63" customHeight="1">
      <c r="A28" s="346"/>
      <c r="B28" s="84" t="s">
        <v>312</v>
      </c>
      <c r="C28" s="51">
        <v>7322</v>
      </c>
      <c r="D28" s="111" t="s">
        <v>238</v>
      </c>
      <c r="E28" s="391" t="s">
        <v>313</v>
      </c>
      <c r="F28" s="258" t="s">
        <v>404</v>
      </c>
      <c r="G28" s="140">
        <v>2021</v>
      </c>
      <c r="H28" s="382">
        <v>1175.092</v>
      </c>
      <c r="I28" s="373"/>
      <c r="J28" s="382">
        <v>1175.092</v>
      </c>
      <c r="K28" s="380">
        <v>100</v>
      </c>
    </row>
    <row r="29" spans="1:11" ht="63" customHeight="1">
      <c r="A29" s="346"/>
      <c r="B29" s="84" t="s">
        <v>312</v>
      </c>
      <c r="C29" s="51">
        <v>7322</v>
      </c>
      <c r="D29" s="111" t="s">
        <v>238</v>
      </c>
      <c r="E29" s="391" t="s">
        <v>313</v>
      </c>
      <c r="F29" s="258" t="s">
        <v>405</v>
      </c>
      <c r="G29" s="140">
        <v>2021</v>
      </c>
      <c r="H29" s="382">
        <v>1483.967</v>
      </c>
      <c r="I29" s="373"/>
      <c r="J29" s="382">
        <v>1483.967</v>
      </c>
      <c r="K29" s="380">
        <v>100</v>
      </c>
    </row>
    <row r="30" spans="1:11" ht="45.75" customHeight="1">
      <c r="A30" s="346"/>
      <c r="B30" s="340" t="s">
        <v>453</v>
      </c>
      <c r="C30" s="114">
        <v>7323</v>
      </c>
      <c r="D30" s="111" t="s">
        <v>238</v>
      </c>
      <c r="E30" s="136" t="s">
        <v>454</v>
      </c>
      <c r="F30" s="391" t="s">
        <v>458</v>
      </c>
      <c r="G30" s="417">
        <v>2021</v>
      </c>
      <c r="H30" s="418">
        <v>186.812</v>
      </c>
      <c r="I30" s="373"/>
      <c r="J30" s="418">
        <v>186.812</v>
      </c>
      <c r="K30" s="419">
        <v>100</v>
      </c>
    </row>
    <row r="31" spans="1:11" ht="45" customHeight="1">
      <c r="A31" s="346"/>
      <c r="B31" s="84" t="s">
        <v>314</v>
      </c>
      <c r="C31" s="51">
        <v>7330</v>
      </c>
      <c r="D31" s="111" t="s">
        <v>238</v>
      </c>
      <c r="E31" s="391" t="s">
        <v>315</v>
      </c>
      <c r="F31" s="258" t="s">
        <v>455</v>
      </c>
      <c r="G31" s="140">
        <v>2021</v>
      </c>
      <c r="H31" s="382">
        <v>26</v>
      </c>
      <c r="I31" s="373"/>
      <c r="J31" s="382">
        <v>26</v>
      </c>
      <c r="K31" s="380">
        <v>100</v>
      </c>
    </row>
    <row r="32" spans="1:11" ht="45" customHeight="1">
      <c r="A32" s="346"/>
      <c r="B32" s="84" t="s">
        <v>314</v>
      </c>
      <c r="C32" s="51">
        <v>7330</v>
      </c>
      <c r="D32" s="111" t="s">
        <v>238</v>
      </c>
      <c r="E32" s="391" t="s">
        <v>315</v>
      </c>
      <c r="F32" s="400" t="s">
        <v>379</v>
      </c>
      <c r="G32" s="140">
        <v>2021</v>
      </c>
      <c r="H32" s="373">
        <f>250+1025.221-68.747</f>
        <v>1206.474</v>
      </c>
      <c r="I32" s="373"/>
      <c r="J32" s="373">
        <v>1206.474</v>
      </c>
      <c r="K32" s="380">
        <v>100</v>
      </c>
    </row>
    <row r="33" spans="1:11" ht="63" customHeight="1">
      <c r="A33" s="346"/>
      <c r="B33" s="84" t="s">
        <v>314</v>
      </c>
      <c r="C33" s="51">
        <v>7330</v>
      </c>
      <c r="D33" s="111" t="s">
        <v>238</v>
      </c>
      <c r="E33" s="391" t="s">
        <v>315</v>
      </c>
      <c r="F33" s="258" t="s">
        <v>324</v>
      </c>
      <c r="G33" s="140">
        <v>2021</v>
      </c>
      <c r="H33" s="373">
        <f>500-25</f>
        <v>475</v>
      </c>
      <c r="I33" s="373"/>
      <c r="J33" s="373">
        <v>475</v>
      </c>
      <c r="K33" s="380">
        <v>100</v>
      </c>
    </row>
    <row r="34" spans="1:11" ht="58.5" customHeight="1">
      <c r="A34" s="346"/>
      <c r="B34" s="84" t="s">
        <v>314</v>
      </c>
      <c r="C34" s="51">
        <v>7330</v>
      </c>
      <c r="D34" s="111" t="s">
        <v>238</v>
      </c>
      <c r="E34" s="391" t="s">
        <v>315</v>
      </c>
      <c r="F34" s="400" t="s">
        <v>325</v>
      </c>
      <c r="G34" s="140">
        <v>2021</v>
      </c>
      <c r="H34" s="373">
        <f>324.496+68.747</f>
        <v>393.243</v>
      </c>
      <c r="I34" s="373"/>
      <c r="J34" s="373">
        <v>393.243</v>
      </c>
      <c r="K34" s="380">
        <v>100</v>
      </c>
    </row>
    <row r="35" spans="1:11" ht="56.25" customHeight="1">
      <c r="A35" s="346"/>
      <c r="B35" s="84" t="s">
        <v>314</v>
      </c>
      <c r="C35" s="51">
        <v>7330</v>
      </c>
      <c r="D35" s="111" t="s">
        <v>238</v>
      </c>
      <c r="E35" s="391" t="s">
        <v>315</v>
      </c>
      <c r="F35" s="401" t="s">
        <v>389</v>
      </c>
      <c r="G35" s="140">
        <v>2021</v>
      </c>
      <c r="H35" s="373">
        <f>259.587+10.298</f>
        <v>269.885</v>
      </c>
      <c r="I35" s="373"/>
      <c r="J35" s="373">
        <v>269.885</v>
      </c>
      <c r="K35" s="380">
        <v>100</v>
      </c>
    </row>
    <row r="36" spans="1:11" ht="41.25" customHeight="1">
      <c r="A36" s="346"/>
      <c r="B36" s="84" t="s">
        <v>314</v>
      </c>
      <c r="C36" s="51">
        <v>7330</v>
      </c>
      <c r="D36" s="111" t="s">
        <v>238</v>
      </c>
      <c r="E36" s="391" t="s">
        <v>315</v>
      </c>
      <c r="F36" s="258" t="s">
        <v>326</v>
      </c>
      <c r="G36" s="140">
        <v>2021</v>
      </c>
      <c r="H36" s="373">
        <f>288.816+4.106</f>
        <v>292.92199999999997</v>
      </c>
      <c r="I36" s="373"/>
      <c r="J36" s="373">
        <v>292.922</v>
      </c>
      <c r="K36" s="380">
        <v>100</v>
      </c>
    </row>
    <row r="37" spans="1:11" ht="41.25" customHeight="1">
      <c r="A37" s="346"/>
      <c r="B37" s="84" t="s">
        <v>314</v>
      </c>
      <c r="C37" s="51">
        <v>7330</v>
      </c>
      <c r="D37" s="111" t="s">
        <v>238</v>
      </c>
      <c r="E37" s="391" t="s">
        <v>315</v>
      </c>
      <c r="F37" s="258" t="s">
        <v>406</v>
      </c>
      <c r="G37" s="140">
        <v>2021</v>
      </c>
      <c r="H37" s="373">
        <v>246.372</v>
      </c>
      <c r="I37" s="373"/>
      <c r="J37" s="373">
        <v>246.372</v>
      </c>
      <c r="K37" s="380">
        <v>100</v>
      </c>
    </row>
    <row r="38" spans="1:11" ht="41.25" customHeight="1">
      <c r="A38" s="346"/>
      <c r="B38" s="84" t="s">
        <v>314</v>
      </c>
      <c r="C38" s="51">
        <v>7330</v>
      </c>
      <c r="D38" s="111" t="s">
        <v>238</v>
      </c>
      <c r="E38" s="391" t="s">
        <v>315</v>
      </c>
      <c r="F38" s="258" t="s">
        <v>407</v>
      </c>
      <c r="G38" s="140">
        <v>2021</v>
      </c>
      <c r="H38" s="373">
        <v>240</v>
      </c>
      <c r="I38" s="373"/>
      <c r="J38" s="373">
        <v>240</v>
      </c>
      <c r="K38" s="380">
        <v>100</v>
      </c>
    </row>
    <row r="39" spans="1:11" ht="41.25" customHeight="1">
      <c r="A39" s="346"/>
      <c r="B39" s="84" t="s">
        <v>314</v>
      </c>
      <c r="C39" s="51">
        <v>7330</v>
      </c>
      <c r="D39" s="111" t="s">
        <v>238</v>
      </c>
      <c r="E39" s="391" t="s">
        <v>315</v>
      </c>
      <c r="F39" s="258" t="s">
        <v>449</v>
      </c>
      <c r="G39" s="140">
        <v>2021</v>
      </c>
      <c r="H39" s="373">
        <v>876.774</v>
      </c>
      <c r="I39" s="373"/>
      <c r="J39" s="373">
        <v>876.774</v>
      </c>
      <c r="K39" s="380">
        <v>100</v>
      </c>
    </row>
    <row r="40" spans="1:11" ht="39" customHeight="1">
      <c r="A40" s="346"/>
      <c r="B40" s="218" t="s">
        <v>319</v>
      </c>
      <c r="C40" s="114">
        <v>7693</v>
      </c>
      <c r="D40" s="111" t="s">
        <v>223</v>
      </c>
      <c r="E40" s="398" t="s">
        <v>328</v>
      </c>
      <c r="F40" s="258" t="s">
        <v>329</v>
      </c>
      <c r="G40" s="385">
        <v>2021</v>
      </c>
      <c r="H40" s="385">
        <v>49.236</v>
      </c>
      <c r="I40" s="386"/>
      <c r="J40" s="386">
        <v>49.236</v>
      </c>
      <c r="K40" s="387">
        <v>100</v>
      </c>
    </row>
    <row r="41" spans="1:11" ht="49.5" customHeight="1">
      <c r="A41" s="346"/>
      <c r="B41" s="218" t="s">
        <v>319</v>
      </c>
      <c r="C41" s="114">
        <v>7693</v>
      </c>
      <c r="D41" s="111" t="s">
        <v>223</v>
      </c>
      <c r="E41" s="398" t="s">
        <v>328</v>
      </c>
      <c r="F41" s="258" t="s">
        <v>330</v>
      </c>
      <c r="G41" s="388">
        <v>2021</v>
      </c>
      <c r="H41" s="386">
        <v>34.431</v>
      </c>
      <c r="I41" s="386"/>
      <c r="J41" s="386">
        <v>34.431</v>
      </c>
      <c r="K41" s="387">
        <v>100</v>
      </c>
    </row>
    <row r="42" spans="1:11" ht="46.5" customHeight="1">
      <c r="A42" s="346"/>
      <c r="B42" s="218"/>
      <c r="C42" s="246" t="s">
        <v>408</v>
      </c>
      <c r="D42" s="111"/>
      <c r="E42" s="133" t="s">
        <v>441</v>
      </c>
      <c r="F42" s="267"/>
      <c r="G42" s="388"/>
      <c r="H42" s="386"/>
      <c r="I42" s="386"/>
      <c r="J42" s="409">
        <f>SUM(J43:J48)</f>
        <v>4007.164</v>
      </c>
      <c r="K42" s="387"/>
    </row>
    <row r="43" spans="1:11" ht="51" customHeight="1">
      <c r="A43" s="346"/>
      <c r="B43" s="393" t="s">
        <v>438</v>
      </c>
      <c r="C43" s="393" t="s">
        <v>400</v>
      </c>
      <c r="D43" s="393" t="s">
        <v>238</v>
      </c>
      <c r="E43" s="136" t="s">
        <v>239</v>
      </c>
      <c r="F43" s="258" t="s">
        <v>401</v>
      </c>
      <c r="G43" s="384" t="s">
        <v>259</v>
      </c>
      <c r="H43" s="383" t="s">
        <v>402</v>
      </c>
      <c r="I43" s="378"/>
      <c r="J43" s="379">
        <v>538.081</v>
      </c>
      <c r="K43" s="380">
        <v>100</v>
      </c>
    </row>
    <row r="44" spans="1:11" ht="79.5" customHeight="1">
      <c r="A44" s="346"/>
      <c r="B44" s="393" t="s">
        <v>438</v>
      </c>
      <c r="C44" s="393" t="s">
        <v>400</v>
      </c>
      <c r="D44" s="393" t="s">
        <v>238</v>
      </c>
      <c r="E44" s="136" t="s">
        <v>239</v>
      </c>
      <c r="F44" s="258" t="s">
        <v>475</v>
      </c>
      <c r="G44" s="384" t="s">
        <v>259</v>
      </c>
      <c r="H44" s="383" t="s">
        <v>473</v>
      </c>
      <c r="I44" s="378"/>
      <c r="J44" s="379">
        <v>49.755</v>
      </c>
      <c r="K44" s="380">
        <v>100</v>
      </c>
    </row>
    <row r="45" spans="1:11" ht="62.25" customHeight="1">
      <c r="A45" s="346"/>
      <c r="B45" s="393" t="s">
        <v>438</v>
      </c>
      <c r="C45" s="393" t="s">
        <v>400</v>
      </c>
      <c r="D45" s="393" t="s">
        <v>238</v>
      </c>
      <c r="E45" s="136" t="s">
        <v>239</v>
      </c>
      <c r="F45" s="258" t="s">
        <v>488</v>
      </c>
      <c r="G45" s="384" t="s">
        <v>259</v>
      </c>
      <c r="H45" s="383" t="s">
        <v>487</v>
      </c>
      <c r="I45" s="378"/>
      <c r="J45" s="379">
        <v>49.99</v>
      </c>
      <c r="K45" s="380">
        <v>100</v>
      </c>
    </row>
    <row r="46" spans="1:11" ht="76.5" customHeight="1">
      <c r="A46" s="346"/>
      <c r="B46" s="218" t="s">
        <v>439</v>
      </c>
      <c r="C46" s="114">
        <v>7361</v>
      </c>
      <c r="D46" s="111" t="s">
        <v>223</v>
      </c>
      <c r="E46" s="136" t="s">
        <v>387</v>
      </c>
      <c r="F46" s="395" t="s">
        <v>388</v>
      </c>
      <c r="G46" s="384" t="s">
        <v>259</v>
      </c>
      <c r="H46" s="383" t="s">
        <v>293</v>
      </c>
      <c r="I46" s="378"/>
      <c r="J46" s="379">
        <v>776.148</v>
      </c>
      <c r="K46" s="380">
        <v>100</v>
      </c>
    </row>
    <row r="47" spans="1:11" ht="51" customHeight="1">
      <c r="A47" s="346"/>
      <c r="B47" s="218" t="s">
        <v>446</v>
      </c>
      <c r="C47" s="114">
        <v>7366</v>
      </c>
      <c r="D47" s="111" t="s">
        <v>223</v>
      </c>
      <c r="E47" s="136" t="s">
        <v>447</v>
      </c>
      <c r="F47" s="395" t="s">
        <v>451</v>
      </c>
      <c r="G47" s="384" t="s">
        <v>259</v>
      </c>
      <c r="H47" s="415">
        <v>2593.07</v>
      </c>
      <c r="I47" s="378"/>
      <c r="J47" s="379">
        <v>2593.07</v>
      </c>
      <c r="K47" s="380">
        <v>100</v>
      </c>
    </row>
    <row r="48" spans="1:11" ht="66.75" customHeight="1">
      <c r="A48" s="346"/>
      <c r="B48" s="218" t="s">
        <v>446</v>
      </c>
      <c r="C48" s="114">
        <v>7366</v>
      </c>
      <c r="D48" s="111" t="s">
        <v>223</v>
      </c>
      <c r="E48" s="136" t="s">
        <v>447</v>
      </c>
      <c r="F48" s="395" t="s">
        <v>452</v>
      </c>
      <c r="G48" s="384" t="s">
        <v>259</v>
      </c>
      <c r="H48" s="415">
        <f>46.93-46.81</f>
        <v>0.11999999999999744</v>
      </c>
      <c r="I48" s="378"/>
      <c r="J48" s="379">
        <f>46.93-46.81</f>
        <v>0.11999999999999744</v>
      </c>
      <c r="K48" s="380">
        <v>100</v>
      </c>
    </row>
    <row r="49" spans="1:11" s="322" customFormat="1" ht="18" customHeight="1">
      <c r="A49" s="91"/>
      <c r="B49" s="497" t="s">
        <v>104</v>
      </c>
      <c r="C49" s="498"/>
      <c r="D49" s="498"/>
      <c r="E49" s="499"/>
      <c r="F49" s="356"/>
      <c r="G49" s="351"/>
      <c r="H49" s="351" t="s">
        <v>331</v>
      </c>
      <c r="I49" s="351"/>
      <c r="J49" s="351">
        <f>J13+J42</f>
        <v>12753.856000000003</v>
      </c>
      <c r="K49" s="351"/>
    </row>
    <row r="50" ht="0.75" customHeight="1" hidden="1"/>
    <row r="51" ht="4.5" customHeight="1">
      <c r="K51" s="361"/>
    </row>
    <row r="52" spans="3:21" ht="16.5" customHeight="1">
      <c r="C52" s="256"/>
      <c r="D52" s="256"/>
      <c r="E52" s="4"/>
      <c r="F52" s="4"/>
      <c r="G52" s="4"/>
      <c r="H52" s="4"/>
      <c r="I52" s="4"/>
      <c r="J52" s="360"/>
      <c r="K52" s="90"/>
      <c r="L52" s="255"/>
      <c r="M52" s="255"/>
      <c r="N52" s="255"/>
      <c r="O52" s="255"/>
      <c r="P52" s="255"/>
      <c r="Q52" s="255"/>
      <c r="R52" s="255"/>
      <c r="S52" s="255"/>
      <c r="T52" s="255"/>
      <c r="U52" s="255"/>
    </row>
    <row r="53" spans="2:18" ht="12.75" customHeight="1">
      <c r="B53" s="411" t="s">
        <v>390</v>
      </c>
      <c r="C53" s="366"/>
      <c r="D53" s="367"/>
      <c r="E53" s="367"/>
      <c r="F53" s="367"/>
      <c r="G53" s="367" t="s">
        <v>391</v>
      </c>
      <c r="H53" s="411"/>
      <c r="I53" s="367"/>
      <c r="J53" s="367"/>
      <c r="K53" s="367"/>
      <c r="L53" s="254"/>
      <c r="M53" s="254"/>
      <c r="N53" s="254"/>
      <c r="O53" s="254"/>
      <c r="P53" s="254"/>
      <c r="Q53" s="254"/>
      <c r="R53" s="254"/>
    </row>
    <row r="54" spans="3:18" ht="14.25" customHeight="1"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  <c r="P54" s="500"/>
      <c r="Q54" s="500"/>
      <c r="R54" s="500"/>
    </row>
  </sheetData>
  <sheetProtection/>
  <mergeCells count="6">
    <mergeCell ref="B49:E49"/>
    <mergeCell ref="H2:K2"/>
    <mergeCell ref="C54:R54"/>
    <mergeCell ref="B3:K3"/>
    <mergeCell ref="H1:I1"/>
    <mergeCell ref="J1:K1"/>
  </mergeCells>
  <printOptions horizontalCentered="1"/>
  <pageMargins left="0.2362204724409449" right="0.2362204724409449" top="0.9448818897637796" bottom="0.15748031496062992" header="0.31496062992125984" footer="0.31496062992125984"/>
  <pageSetup fitToHeight="5" horizontalDpi="600" verticalDpi="600" orientation="landscape" paperSize="9" scale="53" r:id="rId1"/>
  <headerFooter differentFirst="1" alignWithMargins="0">
    <oddHeader>&amp;C&amp;P&amp;Rпродовження Додатка 5</oddHeader>
  </headerFooter>
  <rowBreaks count="1" manualBreakCount="1">
    <brk id="54" max="9" man="1"/>
  </rowBreaks>
  <colBreaks count="1" manualBreakCount="1">
    <brk id="1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="70" zoomScaleNormal="70" zoomScalePageLayoutView="0" workbookViewId="0" topLeftCell="A1">
      <selection activeCell="R22" sqref="R22"/>
    </sheetView>
  </sheetViews>
  <sheetFormatPr defaultColWidth="10.66015625" defaultRowHeight="12.75"/>
  <cols>
    <col min="1" max="1" width="14.33203125" style="99" customWidth="1"/>
    <col min="2" max="6" width="10.66015625" style="99" customWidth="1"/>
    <col min="7" max="7" width="16.5" style="99" customWidth="1"/>
    <col min="8" max="8" width="10.66015625" style="99" customWidth="1"/>
    <col min="9" max="9" width="12.83203125" style="99" customWidth="1"/>
    <col min="10" max="10" width="10.66015625" style="99" customWidth="1"/>
    <col min="11" max="11" width="13.66015625" style="99" customWidth="1"/>
    <col min="12" max="16384" width="10.66015625" style="99" customWidth="1"/>
  </cols>
  <sheetData>
    <row r="1" spans="1:11" ht="115.5" customHeight="1">
      <c r="A1" s="1" t="s">
        <v>490</v>
      </c>
      <c r="I1" s="463" t="s">
        <v>297</v>
      </c>
      <c r="J1" s="463"/>
      <c r="K1" s="463"/>
    </row>
    <row r="2" ht="12.75">
      <c r="A2" s="100"/>
    </row>
    <row r="3" spans="1:11" ht="18.75">
      <c r="A3" s="509" t="s">
        <v>236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1" ht="15.7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5.75">
      <c r="A5" s="291">
        <v>12523000000</v>
      </c>
      <c r="B5" s="320"/>
      <c r="C5" s="125"/>
      <c r="D5" s="125"/>
      <c r="E5" s="125"/>
      <c r="F5" s="125"/>
      <c r="G5" s="125"/>
      <c r="H5" s="125"/>
      <c r="I5" s="125"/>
      <c r="J5" s="125"/>
      <c r="K5" s="125"/>
    </row>
    <row r="6" spans="1:11" ht="15.75">
      <c r="A6" s="290" t="s">
        <v>120</v>
      </c>
      <c r="B6" s="290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5.75">
      <c r="A7" s="101" t="s">
        <v>100</v>
      </c>
      <c r="B7" s="506" t="s">
        <v>101</v>
      </c>
      <c r="C7" s="507"/>
      <c r="D7" s="507"/>
      <c r="E7" s="507"/>
      <c r="F7" s="507"/>
      <c r="G7" s="507"/>
      <c r="H7" s="507"/>
      <c r="I7" s="507"/>
      <c r="J7" s="507"/>
      <c r="K7" s="508"/>
    </row>
    <row r="8" spans="1:11" ht="15.75">
      <c r="A8" s="362">
        <v>1</v>
      </c>
      <c r="B8" s="502" t="s">
        <v>333</v>
      </c>
      <c r="C8" s="503"/>
      <c r="D8" s="503"/>
      <c r="E8" s="503"/>
      <c r="F8" s="503"/>
      <c r="G8" s="503"/>
      <c r="H8" s="503"/>
      <c r="I8" s="503"/>
      <c r="J8" s="503"/>
      <c r="K8" s="504"/>
    </row>
    <row r="9" spans="1:11" ht="15.75">
      <c r="A9" s="362">
        <v>2</v>
      </c>
      <c r="B9" s="502" t="s">
        <v>102</v>
      </c>
      <c r="C9" s="503"/>
      <c r="D9" s="503"/>
      <c r="E9" s="503"/>
      <c r="F9" s="503"/>
      <c r="G9" s="503"/>
      <c r="H9" s="503"/>
      <c r="I9" s="503"/>
      <c r="J9" s="503"/>
      <c r="K9" s="504"/>
    </row>
    <row r="10" spans="1:11" ht="15.75">
      <c r="A10" s="362">
        <v>3</v>
      </c>
      <c r="B10" s="502" t="s">
        <v>334</v>
      </c>
      <c r="C10" s="503"/>
      <c r="D10" s="503"/>
      <c r="E10" s="503"/>
      <c r="F10" s="503"/>
      <c r="G10" s="503"/>
      <c r="H10" s="503"/>
      <c r="I10" s="503"/>
      <c r="J10" s="503"/>
      <c r="K10" s="504"/>
    </row>
    <row r="11" spans="1:11" ht="15.75">
      <c r="A11" s="362">
        <v>4</v>
      </c>
      <c r="B11" s="502" t="s">
        <v>103</v>
      </c>
      <c r="C11" s="503"/>
      <c r="D11" s="503"/>
      <c r="E11" s="503"/>
      <c r="F11" s="503"/>
      <c r="G11" s="503"/>
      <c r="H11" s="503"/>
      <c r="I11" s="503"/>
      <c r="J11" s="503"/>
      <c r="K11" s="504"/>
    </row>
    <row r="12" spans="1:11" ht="18" customHeight="1">
      <c r="A12" s="362">
        <v>5</v>
      </c>
      <c r="B12" s="502" t="s">
        <v>335</v>
      </c>
      <c r="C12" s="503"/>
      <c r="D12" s="503"/>
      <c r="E12" s="503"/>
      <c r="F12" s="503"/>
      <c r="G12" s="503"/>
      <c r="H12" s="503"/>
      <c r="I12" s="503"/>
      <c r="J12" s="503"/>
      <c r="K12" s="504"/>
    </row>
    <row r="13" spans="1:11" ht="15.75">
      <c r="A13" s="362">
        <v>6</v>
      </c>
      <c r="B13" s="502" t="s">
        <v>336</v>
      </c>
      <c r="C13" s="503"/>
      <c r="D13" s="503"/>
      <c r="E13" s="503"/>
      <c r="F13" s="503"/>
      <c r="G13" s="503"/>
      <c r="H13" s="503"/>
      <c r="I13" s="503"/>
      <c r="J13" s="503"/>
      <c r="K13" s="504"/>
    </row>
    <row r="14" spans="1:11" ht="15.75">
      <c r="A14" s="362">
        <v>7</v>
      </c>
      <c r="B14" s="502" t="s">
        <v>337</v>
      </c>
      <c r="C14" s="503"/>
      <c r="D14" s="503"/>
      <c r="E14" s="503"/>
      <c r="F14" s="503"/>
      <c r="G14" s="503"/>
      <c r="H14" s="503"/>
      <c r="I14" s="503"/>
      <c r="J14" s="503"/>
      <c r="K14" s="504"/>
    </row>
    <row r="15" spans="1:11" ht="15.75">
      <c r="A15" s="362">
        <v>8</v>
      </c>
      <c r="B15" s="502" t="s">
        <v>338</v>
      </c>
      <c r="C15" s="503"/>
      <c r="D15" s="503"/>
      <c r="E15" s="503"/>
      <c r="F15" s="503"/>
      <c r="G15" s="503"/>
      <c r="H15" s="503"/>
      <c r="I15" s="503"/>
      <c r="J15" s="503"/>
      <c r="K15" s="504"/>
    </row>
    <row r="16" spans="1:11" ht="15.75">
      <c r="A16" s="362">
        <v>9</v>
      </c>
      <c r="B16" s="502" t="s">
        <v>339</v>
      </c>
      <c r="C16" s="503"/>
      <c r="D16" s="503"/>
      <c r="E16" s="503"/>
      <c r="F16" s="503"/>
      <c r="G16" s="503"/>
      <c r="H16" s="503"/>
      <c r="I16" s="503"/>
      <c r="J16" s="503"/>
      <c r="K16" s="504"/>
    </row>
    <row r="17" spans="1:11" ht="15.75">
      <c r="A17" s="362">
        <v>10</v>
      </c>
      <c r="B17" s="502" t="s">
        <v>340</v>
      </c>
      <c r="C17" s="503"/>
      <c r="D17" s="503"/>
      <c r="E17" s="503"/>
      <c r="F17" s="503"/>
      <c r="G17" s="503"/>
      <c r="H17" s="503"/>
      <c r="I17" s="503"/>
      <c r="J17" s="503"/>
      <c r="K17" s="504"/>
    </row>
    <row r="18" spans="1:11" ht="15.75">
      <c r="A18" s="362">
        <v>11</v>
      </c>
      <c r="B18" s="502" t="s">
        <v>341</v>
      </c>
      <c r="C18" s="503"/>
      <c r="D18" s="503"/>
      <c r="E18" s="503"/>
      <c r="F18" s="503"/>
      <c r="G18" s="503"/>
      <c r="H18" s="503"/>
      <c r="I18" s="503"/>
      <c r="J18" s="503"/>
      <c r="K18" s="504"/>
    </row>
    <row r="19" spans="1:11" ht="15.75">
      <c r="A19" s="362">
        <v>12</v>
      </c>
      <c r="B19" s="502" t="s">
        <v>342</v>
      </c>
      <c r="C19" s="503"/>
      <c r="D19" s="503"/>
      <c r="E19" s="503"/>
      <c r="F19" s="503"/>
      <c r="G19" s="503"/>
      <c r="H19" s="503"/>
      <c r="I19" s="503"/>
      <c r="J19" s="503"/>
      <c r="K19" s="504"/>
    </row>
    <row r="20" spans="1:11" ht="15.75">
      <c r="A20" s="362">
        <v>13</v>
      </c>
      <c r="B20" s="502" t="s">
        <v>343</v>
      </c>
      <c r="C20" s="503"/>
      <c r="D20" s="503"/>
      <c r="E20" s="503"/>
      <c r="F20" s="503"/>
      <c r="G20" s="503"/>
      <c r="H20" s="503"/>
      <c r="I20" s="503"/>
      <c r="J20" s="503"/>
      <c r="K20" s="504"/>
    </row>
    <row r="21" spans="1:11" ht="15.75">
      <c r="A21" s="362">
        <v>14</v>
      </c>
      <c r="B21" s="502" t="s">
        <v>344</v>
      </c>
      <c r="C21" s="503"/>
      <c r="D21" s="503"/>
      <c r="E21" s="503"/>
      <c r="F21" s="503"/>
      <c r="G21" s="503"/>
      <c r="H21" s="503"/>
      <c r="I21" s="503"/>
      <c r="J21" s="503"/>
      <c r="K21" s="504"/>
    </row>
    <row r="22" spans="1:11" ht="15.75">
      <c r="A22" s="362">
        <v>15</v>
      </c>
      <c r="B22" s="502" t="s">
        <v>345</v>
      </c>
      <c r="C22" s="503"/>
      <c r="D22" s="503"/>
      <c r="E22" s="503"/>
      <c r="F22" s="503"/>
      <c r="G22" s="503"/>
      <c r="H22" s="503"/>
      <c r="I22" s="503"/>
      <c r="J22" s="503"/>
      <c r="K22" s="504"/>
    </row>
    <row r="23" spans="1:11" ht="15.75">
      <c r="A23" s="362">
        <v>16</v>
      </c>
      <c r="B23" s="502" t="s">
        <v>346</v>
      </c>
      <c r="C23" s="503"/>
      <c r="D23" s="503"/>
      <c r="E23" s="503"/>
      <c r="F23" s="503"/>
      <c r="G23" s="503"/>
      <c r="H23" s="503"/>
      <c r="I23" s="503"/>
      <c r="J23" s="503"/>
      <c r="K23" s="504"/>
    </row>
    <row r="24" spans="1:11" ht="15.75">
      <c r="A24" s="362">
        <v>17</v>
      </c>
      <c r="B24" s="502" t="s">
        <v>347</v>
      </c>
      <c r="C24" s="503"/>
      <c r="D24" s="503"/>
      <c r="E24" s="503"/>
      <c r="F24" s="503"/>
      <c r="G24" s="503"/>
      <c r="H24" s="503"/>
      <c r="I24" s="503"/>
      <c r="J24" s="503"/>
      <c r="K24" s="504"/>
    </row>
    <row r="25" spans="1:11" ht="15.75">
      <c r="A25" s="362">
        <v>18</v>
      </c>
      <c r="B25" s="502" t="s">
        <v>348</v>
      </c>
      <c r="C25" s="503"/>
      <c r="D25" s="503"/>
      <c r="E25" s="503"/>
      <c r="F25" s="503"/>
      <c r="G25" s="503"/>
      <c r="H25" s="503"/>
      <c r="I25" s="503"/>
      <c r="J25" s="503"/>
      <c r="K25" s="504"/>
    </row>
    <row r="26" spans="1:11" ht="15.75">
      <c r="A26" s="362">
        <v>19</v>
      </c>
      <c r="B26" s="502" t="s">
        <v>349</v>
      </c>
      <c r="C26" s="503"/>
      <c r="D26" s="503"/>
      <c r="E26" s="503"/>
      <c r="F26" s="503"/>
      <c r="G26" s="503"/>
      <c r="H26" s="503"/>
      <c r="I26" s="503"/>
      <c r="J26" s="503"/>
      <c r="K26" s="504"/>
    </row>
    <row r="27" spans="1:11" ht="15.75">
      <c r="A27" s="362">
        <v>20</v>
      </c>
      <c r="B27" s="502" t="s">
        <v>350</v>
      </c>
      <c r="C27" s="503"/>
      <c r="D27" s="503"/>
      <c r="E27" s="503"/>
      <c r="F27" s="503"/>
      <c r="G27" s="503"/>
      <c r="H27" s="503"/>
      <c r="I27" s="503"/>
      <c r="J27" s="503"/>
      <c r="K27" s="504"/>
    </row>
    <row r="28" spans="1:11" ht="15.75">
      <c r="A28" s="362">
        <v>21</v>
      </c>
      <c r="B28" s="502" t="s">
        <v>351</v>
      </c>
      <c r="C28" s="503"/>
      <c r="D28" s="503"/>
      <c r="E28" s="503"/>
      <c r="F28" s="503"/>
      <c r="G28" s="503"/>
      <c r="H28" s="503"/>
      <c r="I28" s="503"/>
      <c r="J28" s="503"/>
      <c r="K28" s="504"/>
    </row>
    <row r="29" spans="1:11" ht="15.75">
      <c r="A29" s="362">
        <v>22</v>
      </c>
      <c r="B29" s="502" t="s">
        <v>352</v>
      </c>
      <c r="C29" s="503"/>
      <c r="D29" s="503"/>
      <c r="E29" s="503"/>
      <c r="F29" s="503"/>
      <c r="G29" s="503"/>
      <c r="H29" s="503"/>
      <c r="I29" s="503"/>
      <c r="J29" s="503"/>
      <c r="K29" s="504"/>
    </row>
    <row r="30" spans="1:11" ht="15.75">
      <c r="A30" s="362">
        <v>23</v>
      </c>
      <c r="B30" s="502" t="s">
        <v>353</v>
      </c>
      <c r="C30" s="503"/>
      <c r="D30" s="503"/>
      <c r="E30" s="503"/>
      <c r="F30" s="503"/>
      <c r="G30" s="503"/>
      <c r="H30" s="503"/>
      <c r="I30" s="503"/>
      <c r="J30" s="503"/>
      <c r="K30" s="504"/>
    </row>
    <row r="31" spans="1:11" ht="15.75">
      <c r="A31" s="362">
        <v>24</v>
      </c>
      <c r="B31" s="502" t="s">
        <v>354</v>
      </c>
      <c r="C31" s="503"/>
      <c r="D31" s="503"/>
      <c r="E31" s="503"/>
      <c r="F31" s="503"/>
      <c r="G31" s="503"/>
      <c r="H31" s="503"/>
      <c r="I31" s="503"/>
      <c r="J31" s="503"/>
      <c r="K31" s="504"/>
    </row>
    <row r="32" spans="1:11" ht="15.75">
      <c r="A32" s="362">
        <v>25</v>
      </c>
      <c r="B32" s="502" t="s">
        <v>355</v>
      </c>
      <c r="C32" s="503"/>
      <c r="D32" s="503"/>
      <c r="E32" s="503"/>
      <c r="F32" s="503"/>
      <c r="G32" s="503"/>
      <c r="H32" s="503"/>
      <c r="I32" s="503"/>
      <c r="J32" s="503"/>
      <c r="K32" s="504"/>
    </row>
    <row r="33" spans="1:11" ht="15.75">
      <c r="A33" s="362">
        <v>26</v>
      </c>
      <c r="B33" s="502" t="s">
        <v>356</v>
      </c>
      <c r="C33" s="503"/>
      <c r="D33" s="503"/>
      <c r="E33" s="503"/>
      <c r="F33" s="503"/>
      <c r="G33" s="503"/>
      <c r="H33" s="503"/>
      <c r="I33" s="503"/>
      <c r="J33" s="503"/>
      <c r="K33" s="504"/>
    </row>
    <row r="34" spans="1:11" ht="15.75">
      <c r="A34" s="362">
        <v>27</v>
      </c>
      <c r="B34" s="502" t="s">
        <v>357</v>
      </c>
      <c r="C34" s="503"/>
      <c r="D34" s="503"/>
      <c r="E34" s="503"/>
      <c r="F34" s="503"/>
      <c r="G34" s="503"/>
      <c r="H34" s="503"/>
      <c r="I34" s="503"/>
      <c r="J34" s="503"/>
      <c r="K34" s="504"/>
    </row>
    <row r="35" spans="1:11" ht="15.75">
      <c r="A35" s="362">
        <v>28</v>
      </c>
      <c r="B35" s="502" t="s">
        <v>358</v>
      </c>
      <c r="C35" s="503"/>
      <c r="D35" s="503"/>
      <c r="E35" s="503"/>
      <c r="F35" s="503"/>
      <c r="G35" s="503"/>
      <c r="H35" s="503"/>
      <c r="I35" s="503"/>
      <c r="J35" s="503"/>
      <c r="K35" s="504"/>
    </row>
    <row r="36" spans="1:11" ht="15.75">
      <c r="A36" s="362">
        <v>29</v>
      </c>
      <c r="B36" s="502" t="s">
        <v>359</v>
      </c>
      <c r="C36" s="503"/>
      <c r="D36" s="503"/>
      <c r="E36" s="503"/>
      <c r="F36" s="503"/>
      <c r="G36" s="503"/>
      <c r="H36" s="503"/>
      <c r="I36" s="503"/>
      <c r="J36" s="503"/>
      <c r="K36" s="504"/>
    </row>
    <row r="37" spans="1:11" ht="15.75">
      <c r="A37" s="362">
        <v>30</v>
      </c>
      <c r="B37" s="502" t="s">
        <v>360</v>
      </c>
      <c r="C37" s="503"/>
      <c r="D37" s="503"/>
      <c r="E37" s="503"/>
      <c r="F37" s="503"/>
      <c r="G37" s="503"/>
      <c r="H37" s="503"/>
      <c r="I37" s="503"/>
      <c r="J37" s="503"/>
      <c r="K37" s="504"/>
    </row>
    <row r="38" spans="1:11" ht="15.75">
      <c r="A38" s="362">
        <v>31</v>
      </c>
      <c r="B38" s="502" t="s">
        <v>361</v>
      </c>
      <c r="C38" s="503"/>
      <c r="D38" s="503"/>
      <c r="E38" s="503"/>
      <c r="F38" s="503"/>
      <c r="G38" s="503"/>
      <c r="H38" s="503"/>
      <c r="I38" s="503"/>
      <c r="J38" s="503"/>
      <c r="K38" s="504"/>
    </row>
    <row r="39" spans="1:11" ht="15.75">
      <c r="A39" s="362">
        <v>32</v>
      </c>
      <c r="B39" s="502" t="s">
        <v>362</v>
      </c>
      <c r="C39" s="503"/>
      <c r="D39" s="503"/>
      <c r="E39" s="503"/>
      <c r="F39" s="503"/>
      <c r="G39" s="503"/>
      <c r="H39" s="503"/>
      <c r="I39" s="503"/>
      <c r="J39" s="503"/>
      <c r="K39" s="504"/>
    </row>
    <row r="40" spans="1:11" ht="15.75">
      <c r="A40" s="362">
        <v>33</v>
      </c>
      <c r="B40" s="502" t="s">
        <v>363</v>
      </c>
      <c r="C40" s="503"/>
      <c r="D40" s="503"/>
      <c r="E40" s="503"/>
      <c r="F40" s="503"/>
      <c r="G40" s="503"/>
      <c r="H40" s="503"/>
      <c r="I40" s="503"/>
      <c r="J40" s="503"/>
      <c r="K40" s="504"/>
    </row>
    <row r="41" spans="1:11" ht="15.75">
      <c r="A41" s="362">
        <v>34</v>
      </c>
      <c r="B41" s="502" t="s">
        <v>364</v>
      </c>
      <c r="C41" s="503"/>
      <c r="D41" s="503"/>
      <c r="E41" s="503"/>
      <c r="F41" s="503"/>
      <c r="G41" s="503"/>
      <c r="H41" s="503"/>
      <c r="I41" s="503"/>
      <c r="J41" s="503"/>
      <c r="K41" s="504"/>
    </row>
    <row r="42" spans="1:11" ht="15.75">
      <c r="A42" s="362">
        <v>35</v>
      </c>
      <c r="B42" s="502" t="s">
        <v>365</v>
      </c>
      <c r="C42" s="503"/>
      <c r="D42" s="503"/>
      <c r="E42" s="503"/>
      <c r="F42" s="503"/>
      <c r="G42" s="503"/>
      <c r="H42" s="503"/>
      <c r="I42" s="503"/>
      <c r="J42" s="503"/>
      <c r="K42" s="504"/>
    </row>
    <row r="43" spans="1:11" ht="15.75">
      <c r="A43" s="362">
        <v>36</v>
      </c>
      <c r="B43" s="502" t="s">
        <v>366</v>
      </c>
      <c r="C43" s="503"/>
      <c r="D43" s="503"/>
      <c r="E43" s="503"/>
      <c r="F43" s="503"/>
      <c r="G43" s="503"/>
      <c r="H43" s="503"/>
      <c r="I43" s="503"/>
      <c r="J43" s="503"/>
      <c r="K43" s="504"/>
    </row>
    <row r="44" spans="1:11" ht="15.75">
      <c r="A44" s="362">
        <v>37</v>
      </c>
      <c r="B44" s="502" t="s">
        <v>367</v>
      </c>
      <c r="C44" s="503"/>
      <c r="D44" s="503"/>
      <c r="E44" s="503"/>
      <c r="F44" s="503"/>
      <c r="G44" s="503"/>
      <c r="H44" s="503"/>
      <c r="I44" s="503"/>
      <c r="J44" s="503"/>
      <c r="K44" s="504"/>
    </row>
    <row r="45" spans="1:11" ht="15.75">
      <c r="A45" s="362">
        <v>38</v>
      </c>
      <c r="B45" s="502" t="s">
        <v>368</v>
      </c>
      <c r="C45" s="503"/>
      <c r="D45" s="503"/>
      <c r="E45" s="503"/>
      <c r="F45" s="503"/>
      <c r="G45" s="503"/>
      <c r="H45" s="503"/>
      <c r="I45" s="503"/>
      <c r="J45" s="503"/>
      <c r="K45" s="504"/>
    </row>
    <row r="46" spans="1:11" ht="15.75">
      <c r="A46" s="362">
        <v>39</v>
      </c>
      <c r="B46" s="502" t="s">
        <v>369</v>
      </c>
      <c r="C46" s="503"/>
      <c r="D46" s="503"/>
      <c r="E46" s="503"/>
      <c r="F46" s="503"/>
      <c r="G46" s="503"/>
      <c r="H46" s="503"/>
      <c r="I46" s="503"/>
      <c r="J46" s="503"/>
      <c r="K46" s="504"/>
    </row>
    <row r="47" spans="1:11" ht="15.75">
      <c r="A47" s="362">
        <v>40</v>
      </c>
      <c r="B47" s="502" t="s">
        <v>370</v>
      </c>
      <c r="C47" s="503"/>
      <c r="D47" s="503"/>
      <c r="E47" s="503"/>
      <c r="F47" s="503"/>
      <c r="G47" s="503"/>
      <c r="H47" s="503"/>
      <c r="I47" s="503"/>
      <c r="J47" s="503"/>
      <c r="K47" s="504"/>
    </row>
    <row r="48" spans="1:11" ht="15.75">
      <c r="A48" s="362">
        <v>41</v>
      </c>
      <c r="B48" s="502" t="s">
        <v>371</v>
      </c>
      <c r="C48" s="503"/>
      <c r="D48" s="503"/>
      <c r="E48" s="503"/>
      <c r="F48" s="503"/>
      <c r="G48" s="503"/>
      <c r="H48" s="503"/>
      <c r="I48" s="503"/>
      <c r="J48" s="503"/>
      <c r="K48" s="504"/>
    </row>
    <row r="49" spans="1:11" ht="15.75">
      <c r="A49" s="362">
        <v>42</v>
      </c>
      <c r="B49" s="502" t="s">
        <v>372</v>
      </c>
      <c r="C49" s="503"/>
      <c r="D49" s="503"/>
      <c r="E49" s="503"/>
      <c r="F49" s="503"/>
      <c r="G49" s="503"/>
      <c r="H49" s="503"/>
      <c r="I49" s="503"/>
      <c r="J49" s="503"/>
      <c r="K49" s="504"/>
    </row>
    <row r="50" spans="1:11" ht="15.75">
      <c r="A50" s="362">
        <v>43</v>
      </c>
      <c r="B50" s="502" t="s">
        <v>373</v>
      </c>
      <c r="C50" s="503"/>
      <c r="D50" s="503"/>
      <c r="E50" s="503"/>
      <c r="F50" s="503"/>
      <c r="G50" s="503"/>
      <c r="H50" s="503"/>
      <c r="I50" s="503"/>
      <c r="J50" s="503"/>
      <c r="K50" s="504"/>
    </row>
    <row r="51" spans="1:11" ht="15.75">
      <c r="A51" s="362">
        <v>44</v>
      </c>
      <c r="B51" s="502" t="s">
        <v>374</v>
      </c>
      <c r="C51" s="503"/>
      <c r="D51" s="503"/>
      <c r="E51" s="503"/>
      <c r="F51" s="503"/>
      <c r="G51" s="503"/>
      <c r="H51" s="503"/>
      <c r="I51" s="503"/>
      <c r="J51" s="503"/>
      <c r="K51" s="504"/>
    </row>
    <row r="52" spans="1:11" ht="15.75">
      <c r="A52" s="362">
        <v>45</v>
      </c>
      <c r="B52" s="502" t="s">
        <v>375</v>
      </c>
      <c r="C52" s="503"/>
      <c r="D52" s="503"/>
      <c r="E52" s="503"/>
      <c r="F52" s="503"/>
      <c r="G52" s="503"/>
      <c r="H52" s="503"/>
      <c r="I52" s="503"/>
      <c r="J52" s="503"/>
      <c r="K52" s="504"/>
    </row>
    <row r="53" ht="15.75" customHeight="1">
      <c r="B53" s="253"/>
    </row>
    <row r="54" spans="1:11" ht="15.75">
      <c r="A54" s="505"/>
      <c r="B54" s="505"/>
      <c r="C54" s="505"/>
      <c r="D54" s="505"/>
      <c r="E54" s="505"/>
      <c r="F54" s="505"/>
      <c r="G54" s="505"/>
      <c r="H54" s="505"/>
      <c r="I54" s="505"/>
      <c r="J54" s="505"/>
      <c r="K54" s="505"/>
    </row>
    <row r="55" spans="1:11" ht="15.75">
      <c r="A55" s="239" t="s">
        <v>390</v>
      </c>
      <c r="B55" s="366"/>
      <c r="C55" s="367"/>
      <c r="D55" s="367"/>
      <c r="E55" s="367"/>
      <c r="F55" s="244"/>
      <c r="G55" s="245"/>
      <c r="H55" s="245"/>
      <c r="J55" s="367" t="s">
        <v>391</v>
      </c>
      <c r="K55" s="331"/>
    </row>
  </sheetData>
  <sheetProtection/>
  <mergeCells count="49">
    <mergeCell ref="B33:K33"/>
    <mergeCell ref="B34:K34"/>
    <mergeCell ref="B35:K35"/>
    <mergeCell ref="B36:K36"/>
    <mergeCell ref="A54:K54"/>
    <mergeCell ref="I1:K1"/>
    <mergeCell ref="B7:K7"/>
    <mergeCell ref="A3:K3"/>
    <mergeCell ref="B46:K46"/>
    <mergeCell ref="B47:K47"/>
    <mergeCell ref="B48:K48"/>
    <mergeCell ref="B37:K37"/>
    <mergeCell ref="B38:K38"/>
    <mergeCell ref="B39:K39"/>
    <mergeCell ref="B40:K40"/>
    <mergeCell ref="B41:K41"/>
    <mergeCell ref="B42:K42"/>
    <mergeCell ref="B14:K14"/>
    <mergeCell ref="B15:K15"/>
    <mergeCell ref="B16:K16"/>
    <mergeCell ref="B43:K43"/>
    <mergeCell ref="B44:K44"/>
    <mergeCell ref="B45:K45"/>
    <mergeCell ref="B29:K29"/>
    <mergeCell ref="B30:K30"/>
    <mergeCell ref="B31:K31"/>
    <mergeCell ref="B32:K32"/>
    <mergeCell ref="B8:K8"/>
    <mergeCell ref="B9:K9"/>
    <mergeCell ref="B10:K10"/>
    <mergeCell ref="B11:K11"/>
    <mergeCell ref="B12:K12"/>
    <mergeCell ref="B13:K13"/>
    <mergeCell ref="B17:K17"/>
    <mergeCell ref="B18:K18"/>
    <mergeCell ref="B19:K19"/>
    <mergeCell ref="B20:K20"/>
    <mergeCell ref="B21:K21"/>
    <mergeCell ref="B22:K22"/>
    <mergeCell ref="B50:K50"/>
    <mergeCell ref="B51:K51"/>
    <mergeCell ref="B52:K52"/>
    <mergeCell ref="B23:K23"/>
    <mergeCell ref="B24:K24"/>
    <mergeCell ref="B25:K25"/>
    <mergeCell ref="B26:K26"/>
    <mergeCell ref="B27:K27"/>
    <mergeCell ref="B28:K28"/>
    <mergeCell ref="B49:K49"/>
  </mergeCells>
  <printOptions/>
  <pageMargins left="1.1811023622047245" right="0.3937007874015748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2021-12-21T08:14:03Z</cp:lastPrinted>
  <dcterms:created xsi:type="dcterms:W3CDTF">2014-01-17T10:52:16Z</dcterms:created>
  <dcterms:modified xsi:type="dcterms:W3CDTF">2021-12-21T11:30:07Z</dcterms:modified>
  <cp:category/>
  <cp:version/>
  <cp:contentType/>
  <cp:contentStatus/>
</cp:coreProperties>
</file>